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95" windowWidth="11520" windowHeight="5130" tabRatio="849" activeTab="1"/>
  </bookViews>
  <sheets>
    <sheet name="02-HH-2014" sheetId="21" r:id="rId1"/>
    <sheet name="03-APU-NUEV UNC 2014" sheetId="17" r:id="rId2"/>
    <sheet name="05-ED-2014" sheetId="1" r:id="rId3"/>
    <sheet name="01-UCADE 4 SP" sheetId="4" r:id="rId4"/>
    <sheet name="02-UCADE 5 TW " sheetId="27" r:id="rId5"/>
    <sheet name="03-UCADE 6 SPTW " sheetId="30" r:id="rId6"/>
    <sheet name="04-UCADE 7 TS" sheetId="31" r:id="rId7"/>
    <sheet name="05-UCADE 8 VS)" sheetId="32" r:id="rId8"/>
  </sheets>
  <externalReferences>
    <externalReference r:id="rId9"/>
    <externalReference r:id="rId10"/>
  </externalReferences>
  <calcPr calcId="124519" calcMode="manual"/>
</workbook>
</file>

<file path=xl/calcChain.xml><?xml version="1.0" encoding="utf-8"?>
<calcChain xmlns="http://schemas.openxmlformats.org/spreadsheetml/2006/main">
  <c r="O108" i="17"/>
  <c r="N108"/>
  <c r="M108"/>
  <c r="L108"/>
  <c r="K108"/>
  <c r="J108"/>
  <c r="I108"/>
  <c r="H108"/>
  <c r="G108"/>
  <c r="F108"/>
  <c r="E108"/>
  <c r="D108"/>
  <c r="L194"/>
  <c r="K194"/>
  <c r="J194"/>
  <c r="I194"/>
  <c r="H194"/>
  <c r="G194"/>
  <c r="F194"/>
  <c r="E194"/>
  <c r="D194"/>
  <c r="L193"/>
  <c r="K193"/>
  <c r="J193"/>
  <c r="I193"/>
  <c r="H193"/>
  <c r="F193"/>
  <c r="E193"/>
  <c r="D193"/>
  <c r="D56" i="32" l="1"/>
  <c r="E56"/>
  <c r="F56"/>
  <c r="G56"/>
  <c r="H56"/>
  <c r="I56"/>
  <c r="J56"/>
  <c r="K56"/>
  <c r="C56"/>
  <c r="D57"/>
  <c r="E57"/>
  <c r="F57"/>
  <c r="G57"/>
  <c r="H57"/>
  <c r="I57"/>
  <c r="J57"/>
  <c r="K57"/>
  <c r="C57"/>
  <c r="D54"/>
  <c r="E54"/>
  <c r="F54"/>
  <c r="G54"/>
  <c r="H54"/>
  <c r="I54"/>
  <c r="J54"/>
  <c r="K54"/>
  <c r="C54"/>
  <c r="F55"/>
  <c r="D53"/>
  <c r="E53"/>
  <c r="F53"/>
  <c r="G53"/>
  <c r="H53"/>
  <c r="I53"/>
  <c r="J53"/>
  <c r="K53"/>
  <c r="C53"/>
  <c r="K58"/>
  <c r="J58"/>
  <c r="I58"/>
  <c r="H58"/>
  <c r="G58"/>
  <c r="F58"/>
  <c r="E58"/>
  <c r="D58"/>
  <c r="C58"/>
  <c r="K48"/>
  <c r="K50" s="1"/>
  <c r="J48"/>
  <c r="J50" s="1"/>
  <c r="I48"/>
  <c r="I50" s="1"/>
  <c r="H48"/>
  <c r="H50" s="1"/>
  <c r="G48"/>
  <c r="G50" s="1"/>
  <c r="F48"/>
  <c r="F50" s="1"/>
  <c r="E48"/>
  <c r="E50" s="1"/>
  <c r="D48"/>
  <c r="D50" s="1"/>
  <c r="C48"/>
  <c r="C50" s="1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4"/>
  <c r="J34"/>
  <c r="I34"/>
  <c r="H34"/>
  <c r="G34"/>
  <c r="F34"/>
  <c r="E34"/>
  <c r="D34"/>
  <c r="C34"/>
  <c r="K32"/>
  <c r="J32"/>
  <c r="I32"/>
  <c r="H32"/>
  <c r="G32"/>
  <c r="F32"/>
  <c r="E32"/>
  <c r="D32"/>
  <c r="C32"/>
  <c r="K31"/>
  <c r="J31"/>
  <c r="I31"/>
  <c r="H31"/>
  <c r="G31"/>
  <c r="F31"/>
  <c r="E31"/>
  <c r="D31"/>
  <c r="C31"/>
  <c r="K24"/>
  <c r="J24"/>
  <c r="I24"/>
  <c r="H24"/>
  <c r="G24"/>
  <c r="F24"/>
  <c r="E24"/>
  <c r="D24"/>
  <c r="C24"/>
  <c r="K22"/>
  <c r="J22"/>
  <c r="I22"/>
  <c r="H22"/>
  <c r="G22"/>
  <c r="F22"/>
  <c r="E22"/>
  <c r="D22"/>
  <c r="C22"/>
  <c r="K53" i="30"/>
  <c r="J53"/>
  <c r="I53"/>
  <c r="H53"/>
  <c r="G53"/>
  <c r="F53"/>
  <c r="E53"/>
  <c r="D53"/>
  <c r="C53"/>
  <c r="K53" i="27"/>
  <c r="J53"/>
  <c r="I53"/>
  <c r="H53"/>
  <c r="G53"/>
  <c r="F53"/>
  <c r="E53"/>
  <c r="D53"/>
  <c r="C53"/>
  <c r="K202" i="17"/>
  <c r="L202" s="1"/>
  <c r="K53" i="31" s="1"/>
  <c r="J202" i="17"/>
  <c r="I53" i="31" s="1"/>
  <c r="I202" i="17"/>
  <c r="H53" i="31" s="1"/>
  <c r="H202" i="17"/>
  <c r="G53" i="31" s="1"/>
  <c r="G202" i="17"/>
  <c r="F53" i="31" s="1"/>
  <c r="F202" i="17"/>
  <c r="E53" i="31" s="1"/>
  <c r="E202" i="17"/>
  <c r="D53" i="31" s="1"/>
  <c r="D202" i="17"/>
  <c r="C53" i="31" s="1"/>
  <c r="F60" i="32" l="1"/>
  <c r="J53" i="31"/>
  <c r="F22" i="27" l="1"/>
  <c r="G22"/>
  <c r="H22"/>
  <c r="I22"/>
  <c r="J22"/>
  <c r="K22"/>
  <c r="D24" i="4"/>
  <c r="E24"/>
  <c r="F24"/>
  <c r="G24"/>
  <c r="H24"/>
  <c r="I24"/>
  <c r="J24"/>
  <c r="K24"/>
  <c r="C24"/>
  <c r="K22" i="31"/>
  <c r="J22"/>
  <c r="I22"/>
  <c r="H22"/>
  <c r="G22"/>
  <c r="F22"/>
  <c r="K22" i="30"/>
  <c r="J22"/>
  <c r="I22"/>
  <c r="H22"/>
  <c r="G22"/>
  <c r="F22"/>
  <c r="I22" i="4"/>
  <c r="J22"/>
  <c r="K22"/>
  <c r="D195" i="17" l="1"/>
  <c r="L195"/>
  <c r="K53" i="4" s="1"/>
  <c r="K195" i="17"/>
  <c r="J53" i="4" s="1"/>
  <c r="J195" i="17"/>
  <c r="I53" i="4" s="1"/>
  <c r="I195" i="17"/>
  <c r="H195"/>
  <c r="F195"/>
  <c r="E195"/>
  <c r="J440"/>
  <c r="K440"/>
  <c r="L440"/>
  <c r="E440"/>
  <c r="F440"/>
  <c r="G440"/>
  <c r="D440"/>
  <c r="G422"/>
  <c r="H422"/>
  <c r="I422"/>
  <c r="J422"/>
  <c r="K422"/>
  <c r="L422"/>
  <c r="F422"/>
  <c r="E473"/>
  <c r="F473"/>
  <c r="D473"/>
  <c r="E485"/>
  <c r="F485"/>
  <c r="G485"/>
  <c r="H485"/>
  <c r="I485"/>
  <c r="J485"/>
  <c r="K485"/>
  <c r="L485"/>
  <c r="D485"/>
  <c r="E482" l="1"/>
  <c r="F482"/>
  <c r="G482"/>
  <c r="H482"/>
  <c r="I482"/>
  <c r="J482"/>
  <c r="K482"/>
  <c r="L482"/>
  <c r="D482"/>
  <c r="L476"/>
  <c r="H476"/>
  <c r="I476"/>
  <c r="J476"/>
  <c r="K476"/>
  <c r="G476"/>
  <c r="E476"/>
  <c r="F476"/>
  <c r="D476"/>
  <c r="F17" i="1"/>
  <c r="E17"/>
  <c r="K192" i="17"/>
  <c r="L192" s="1"/>
  <c r="J192"/>
  <c r="I192"/>
  <c r="H192"/>
  <c r="G192"/>
  <c r="F192"/>
  <c r="E192"/>
  <c r="D192"/>
  <c r="K55" i="32"/>
  <c r="K60" s="1"/>
  <c r="H55"/>
  <c r="H60" s="1"/>
  <c r="I55"/>
  <c r="I60" s="1"/>
  <c r="J55"/>
  <c r="J60" s="1"/>
  <c r="G55"/>
  <c r="G60" s="1"/>
  <c r="G193" i="17"/>
  <c r="E55" i="32"/>
  <c r="E60" s="1"/>
  <c r="D55"/>
  <c r="D60" s="1"/>
  <c r="C55"/>
  <c r="C60" s="1"/>
  <c r="H34" i="17"/>
  <c r="I34"/>
  <c r="J34"/>
  <c r="K34"/>
  <c r="L34"/>
  <c r="M34"/>
  <c r="N34"/>
  <c r="O34"/>
  <c r="G34"/>
  <c r="O64"/>
  <c r="N64"/>
  <c r="N62"/>
  <c r="O62"/>
  <c r="D229"/>
  <c r="E229"/>
  <c r="J229"/>
  <c r="I229"/>
  <c r="G142"/>
  <c r="H142"/>
  <c r="I142"/>
  <c r="J142"/>
  <c r="K142"/>
  <c r="L142"/>
  <c r="M142"/>
  <c r="N142"/>
  <c r="O142"/>
  <c r="F142"/>
  <c r="E142"/>
  <c r="D142"/>
  <c r="J407"/>
  <c r="K407"/>
  <c r="H407"/>
  <c r="I407"/>
  <c r="E407"/>
  <c r="F407"/>
  <c r="G407"/>
  <c r="D407"/>
  <c r="D32" i="27" l="1"/>
  <c r="D32" i="31"/>
  <c r="D32" i="30"/>
  <c r="I32" i="27"/>
  <c r="I32" i="31"/>
  <c r="I32" i="30"/>
  <c r="I32" i="4"/>
  <c r="C32" i="27"/>
  <c r="C32" i="31"/>
  <c r="C32" i="30"/>
  <c r="G196" i="17"/>
  <c r="E490"/>
  <c r="F490"/>
  <c r="G490"/>
  <c r="H490"/>
  <c r="D490"/>
  <c r="E356" l="1"/>
  <c r="F356"/>
  <c r="G356"/>
  <c r="H356"/>
  <c r="I356"/>
  <c r="J356"/>
  <c r="K356"/>
  <c r="L356"/>
  <c r="M356"/>
  <c r="N356"/>
  <c r="O356"/>
  <c r="D356"/>
  <c r="J27" i="1" l="1"/>
  <c r="O230" i="17"/>
  <c r="N230"/>
  <c r="K230"/>
  <c r="L230"/>
  <c r="M230"/>
  <c r="J230"/>
  <c r="I230"/>
  <c r="E33" i="32" s="1"/>
  <c r="E230" i="17"/>
  <c r="F230"/>
  <c r="G230"/>
  <c r="C33" i="32" s="1"/>
  <c r="H230" i="17"/>
  <c r="D33" i="32" s="1"/>
  <c r="D230" i="17"/>
  <c r="O235"/>
  <c r="N235"/>
  <c r="K235"/>
  <c r="L235"/>
  <c r="M235"/>
  <c r="J235"/>
  <c r="I235"/>
  <c r="E38" i="32" s="1"/>
  <c r="E235" i="17"/>
  <c r="F235"/>
  <c r="G235"/>
  <c r="C38" i="32" s="1"/>
  <c r="H235" i="17"/>
  <c r="D38" i="32" s="1"/>
  <c r="D235" i="17"/>
  <c r="N231"/>
  <c r="O231" s="1"/>
  <c r="J231"/>
  <c r="I231"/>
  <c r="H231"/>
  <c r="G231"/>
  <c r="F231"/>
  <c r="E231"/>
  <c r="D231"/>
  <c r="K229"/>
  <c r="H229"/>
  <c r="G229"/>
  <c r="F229"/>
  <c r="O228"/>
  <c r="N228"/>
  <c r="K228"/>
  <c r="L228"/>
  <c r="M228"/>
  <c r="J228"/>
  <c r="I228"/>
  <c r="H228"/>
  <c r="G228"/>
  <c r="F228"/>
  <c r="E228"/>
  <c r="D228"/>
  <c r="E227"/>
  <c r="F227"/>
  <c r="G227"/>
  <c r="C30" i="32" s="1"/>
  <c r="H227" i="17"/>
  <c r="D30" i="32" s="1"/>
  <c r="D40" s="1"/>
  <c r="I227" i="17"/>
  <c r="E30" i="32" s="1"/>
  <c r="E40" s="1"/>
  <c r="J227" i="17"/>
  <c r="K227"/>
  <c r="L227"/>
  <c r="M227"/>
  <c r="N227"/>
  <c r="O227"/>
  <c r="D227"/>
  <c r="K30" i="32" l="1"/>
  <c r="H30"/>
  <c r="I30"/>
  <c r="F30"/>
  <c r="I38"/>
  <c r="F38"/>
  <c r="K38"/>
  <c r="H38"/>
  <c r="F33"/>
  <c r="I33"/>
  <c r="H33"/>
  <c r="K33"/>
  <c r="G30"/>
  <c r="J30"/>
  <c r="C40"/>
  <c r="G38"/>
  <c r="J38"/>
  <c r="J33"/>
  <c r="G33"/>
  <c r="G30" i="27"/>
  <c r="J30"/>
  <c r="J30" i="31"/>
  <c r="G30"/>
  <c r="J30" i="30"/>
  <c r="J30" i="4"/>
  <c r="G30" i="30"/>
  <c r="E30" i="27"/>
  <c r="E30" i="31"/>
  <c r="E30" i="30"/>
  <c r="C30" i="27"/>
  <c r="C30" i="31"/>
  <c r="C30" i="30"/>
  <c r="C31" i="27"/>
  <c r="C31" i="31"/>
  <c r="C31" i="30"/>
  <c r="E31" i="27"/>
  <c r="E31" i="31"/>
  <c r="E31" i="30"/>
  <c r="J31" i="27"/>
  <c r="G31"/>
  <c r="G31" i="31"/>
  <c r="J31"/>
  <c r="G31" i="30"/>
  <c r="J31"/>
  <c r="J31" i="4"/>
  <c r="F32" i="27"/>
  <c r="F32" i="31"/>
  <c r="F32" i="30"/>
  <c r="L229" i="17"/>
  <c r="J32" i="27"/>
  <c r="J32" i="31"/>
  <c r="J32" i="30"/>
  <c r="J32" i="4"/>
  <c r="D34" i="27"/>
  <c r="D34" i="31"/>
  <c r="D34" i="30"/>
  <c r="F34" i="27"/>
  <c r="F34" i="31"/>
  <c r="F34" i="30"/>
  <c r="D38" i="27"/>
  <c r="D38" i="31"/>
  <c r="D38" i="30"/>
  <c r="E38" i="27"/>
  <c r="E38" i="31"/>
  <c r="E38" i="30"/>
  <c r="G38" i="27"/>
  <c r="J38"/>
  <c r="J38" i="31"/>
  <c r="G38"/>
  <c r="J38" i="30"/>
  <c r="J38" i="4"/>
  <c r="G38" i="30"/>
  <c r="D33" i="27"/>
  <c r="D33" i="31"/>
  <c r="D33" i="30"/>
  <c r="E33" i="27"/>
  <c r="E33" i="31"/>
  <c r="E33" i="30"/>
  <c r="J33" i="27"/>
  <c r="G33"/>
  <c r="G33" i="31"/>
  <c r="J33"/>
  <c r="G33" i="30"/>
  <c r="J33"/>
  <c r="J33" i="4"/>
  <c r="K30" i="27"/>
  <c r="H30"/>
  <c r="H30" i="31"/>
  <c r="K30"/>
  <c r="H30" i="30"/>
  <c r="K30"/>
  <c r="K30" i="4"/>
  <c r="I30" i="27"/>
  <c r="F30"/>
  <c r="F30" i="31"/>
  <c r="I30"/>
  <c r="F30" i="30"/>
  <c r="I30"/>
  <c r="I30" i="4"/>
  <c r="D30" i="27"/>
  <c r="D30" i="31"/>
  <c r="D30" i="30"/>
  <c r="D31" i="27"/>
  <c r="D31" i="31"/>
  <c r="D31" i="30"/>
  <c r="F31" i="27"/>
  <c r="I31"/>
  <c r="I31" i="31"/>
  <c r="F31"/>
  <c r="I31" i="30"/>
  <c r="I31" i="4"/>
  <c r="F31" i="30"/>
  <c r="H31" i="27"/>
  <c r="K31"/>
  <c r="K31" i="31"/>
  <c r="H31"/>
  <c r="K31" i="30"/>
  <c r="K31" i="4"/>
  <c r="H31" i="30"/>
  <c r="E32" i="27"/>
  <c r="E32" i="31"/>
  <c r="E32" i="30"/>
  <c r="G32" i="27"/>
  <c r="G32" i="31"/>
  <c r="G32" i="30"/>
  <c r="C34" i="27"/>
  <c r="C34" i="31"/>
  <c r="C34" i="30"/>
  <c r="E34" i="27"/>
  <c r="E34" i="31"/>
  <c r="E34" i="30"/>
  <c r="G34" i="27"/>
  <c r="G34" i="31"/>
  <c r="G34" i="30"/>
  <c r="K231" i="17"/>
  <c r="I34" i="27"/>
  <c r="I34" i="31"/>
  <c r="I34" i="30"/>
  <c r="I34" i="4"/>
  <c r="C38" i="27"/>
  <c r="C38" i="31"/>
  <c r="C38" i="30"/>
  <c r="I38" i="27"/>
  <c r="F38"/>
  <c r="F38" i="31"/>
  <c r="I38"/>
  <c r="F38" i="30"/>
  <c r="I38"/>
  <c r="I38" i="4"/>
  <c r="K38" i="27"/>
  <c r="H38"/>
  <c r="H38" i="31"/>
  <c r="K38"/>
  <c r="H38" i="30"/>
  <c r="K38"/>
  <c r="K38" i="4"/>
  <c r="C33" i="27"/>
  <c r="C33" i="31"/>
  <c r="C33" i="30"/>
  <c r="F33" i="27"/>
  <c r="I33"/>
  <c r="I33" i="31"/>
  <c r="F33"/>
  <c r="I33" i="30"/>
  <c r="I33" i="4"/>
  <c r="F33" i="30"/>
  <c r="H33" i="27"/>
  <c r="K33"/>
  <c r="K33" i="31"/>
  <c r="H33"/>
  <c r="K33" i="30"/>
  <c r="K33" i="4"/>
  <c r="H33" i="30"/>
  <c r="E174" i="17"/>
  <c r="F174"/>
  <c r="G174"/>
  <c r="H174"/>
  <c r="I174"/>
  <c r="J174"/>
  <c r="K174"/>
  <c r="L174"/>
  <c r="M174"/>
  <c r="N174"/>
  <c r="O174"/>
  <c r="D174"/>
  <c r="O157"/>
  <c r="N157"/>
  <c r="M157"/>
  <c r="L157"/>
  <c r="K157"/>
  <c r="J157"/>
  <c r="I157"/>
  <c r="H157"/>
  <c r="G157"/>
  <c r="F157"/>
  <c r="D158"/>
  <c r="E157"/>
  <c r="D157"/>
  <c r="O73"/>
  <c r="N73"/>
  <c r="M73"/>
  <c r="L73"/>
  <c r="K73"/>
  <c r="J73"/>
  <c r="I73"/>
  <c r="H73"/>
  <c r="G73"/>
  <c r="F73"/>
  <c r="E73"/>
  <c r="D73"/>
  <c r="O72"/>
  <c r="O76" s="1"/>
  <c r="N72"/>
  <c r="M72"/>
  <c r="M82" s="1"/>
  <c r="L72"/>
  <c r="K72"/>
  <c r="K82" s="1"/>
  <c r="J72"/>
  <c r="I72"/>
  <c r="I82" s="1"/>
  <c r="H72"/>
  <c r="G72"/>
  <c r="G76" s="1"/>
  <c r="F12" i="1" s="1"/>
  <c r="F72" i="17"/>
  <c r="E72"/>
  <c r="E82" s="1"/>
  <c r="D72"/>
  <c r="O21"/>
  <c r="O22"/>
  <c r="N22"/>
  <c r="N21"/>
  <c r="O20"/>
  <c r="N20"/>
  <c r="J22"/>
  <c r="K22"/>
  <c r="L22"/>
  <c r="M22"/>
  <c r="I22"/>
  <c r="J21"/>
  <c r="K21"/>
  <c r="L21"/>
  <c r="M21"/>
  <c r="I21"/>
  <c r="K20"/>
  <c r="L20"/>
  <c r="M20"/>
  <c r="J20"/>
  <c r="I20"/>
  <c r="E20"/>
  <c r="F20"/>
  <c r="G20"/>
  <c r="H20"/>
  <c r="E21"/>
  <c r="F21"/>
  <c r="G21"/>
  <c r="H21"/>
  <c r="E22"/>
  <c r="F22"/>
  <c r="G22"/>
  <c r="H22"/>
  <c r="D22"/>
  <c r="D21"/>
  <c r="D20"/>
  <c r="O7"/>
  <c r="O8"/>
  <c r="O9"/>
  <c r="O10"/>
  <c r="O11"/>
  <c r="O12"/>
  <c r="N12"/>
  <c r="N11"/>
  <c r="N10"/>
  <c r="N9"/>
  <c r="N8"/>
  <c r="N7"/>
  <c r="K12"/>
  <c r="L12"/>
  <c r="M12"/>
  <c r="J12"/>
  <c r="K11"/>
  <c r="L11"/>
  <c r="M11"/>
  <c r="J11"/>
  <c r="J10"/>
  <c r="K10"/>
  <c r="L10"/>
  <c r="M10"/>
  <c r="I10"/>
  <c r="K9"/>
  <c r="L9"/>
  <c r="M9"/>
  <c r="J9"/>
  <c r="K8"/>
  <c r="L8"/>
  <c r="M8"/>
  <c r="J8"/>
  <c r="K7"/>
  <c r="L7"/>
  <c r="M7"/>
  <c r="J7"/>
  <c r="I12"/>
  <c r="I11"/>
  <c r="I9"/>
  <c r="I8"/>
  <c r="I7"/>
  <c r="E12"/>
  <c r="F12"/>
  <c r="G12"/>
  <c r="H12"/>
  <c r="D12"/>
  <c r="E11"/>
  <c r="F11"/>
  <c r="G11"/>
  <c r="H11"/>
  <c r="D11"/>
  <c r="E10"/>
  <c r="F10"/>
  <c r="G10"/>
  <c r="H10"/>
  <c r="D10"/>
  <c r="E9"/>
  <c r="F9"/>
  <c r="G9"/>
  <c r="H9"/>
  <c r="D9"/>
  <c r="E8"/>
  <c r="F8"/>
  <c r="G8"/>
  <c r="H8"/>
  <c r="D8"/>
  <c r="E7"/>
  <c r="F7"/>
  <c r="G7"/>
  <c r="H7"/>
  <c r="D7"/>
  <c r="G40" i="32" l="1"/>
  <c r="I40"/>
  <c r="K40"/>
  <c r="J40"/>
  <c r="F40"/>
  <c r="H40"/>
  <c r="D82" i="17"/>
  <c r="F82"/>
  <c r="H82"/>
  <c r="J82"/>
  <c r="L82"/>
  <c r="N82"/>
  <c r="N76"/>
  <c r="L231"/>
  <c r="J34" i="27"/>
  <c r="J34" i="31"/>
  <c r="J34" i="30"/>
  <c r="J34" i="4"/>
  <c r="M229" i="17"/>
  <c r="N229" s="1"/>
  <c r="O229" s="1"/>
  <c r="K32" i="27"/>
  <c r="H32"/>
  <c r="H32" i="31"/>
  <c r="K32"/>
  <c r="H32" i="30"/>
  <c r="K32"/>
  <c r="K32" i="4"/>
  <c r="L76" i="17"/>
  <c r="K12" i="1" s="1"/>
  <c r="O82" i="17"/>
  <c r="G82"/>
  <c r="D76"/>
  <c r="C12" i="1" s="1"/>
  <c r="E76" i="17"/>
  <c r="D12" i="1" s="1"/>
  <c r="I76" i="17"/>
  <c r="H12" i="1" s="1"/>
  <c r="M76" i="17"/>
  <c r="F76"/>
  <c r="E12" i="1" s="1"/>
  <c r="J76" i="17"/>
  <c r="I12" i="1" s="1"/>
  <c r="H76" i="17"/>
  <c r="G12" i="1" s="1"/>
  <c r="K76" i="17"/>
  <c r="J12" i="1" s="1"/>
  <c r="M231" i="17" l="1"/>
  <c r="K34" i="27"/>
  <c r="H34"/>
  <c r="H34" i="31"/>
  <c r="K34"/>
  <c r="H34" i="30"/>
  <c r="K34"/>
  <c r="K34" i="4"/>
  <c r="F22"/>
  <c r="G22"/>
  <c r="H22"/>
  <c r="H53" l="1"/>
  <c r="G53"/>
  <c r="F53"/>
  <c r="E53"/>
  <c r="D53"/>
  <c r="O425" i="17"/>
  <c r="N425"/>
  <c r="M425"/>
  <c r="L425"/>
  <c r="K425"/>
  <c r="J425"/>
  <c r="I425"/>
  <c r="H425"/>
  <c r="G425"/>
  <c r="F425"/>
  <c r="E425"/>
  <c r="D425"/>
  <c r="O422"/>
  <c r="N422"/>
  <c r="M422"/>
  <c r="E422"/>
  <c r="D422"/>
  <c r="O419"/>
  <c r="N419"/>
  <c r="M419"/>
  <c r="L419"/>
  <c r="K419"/>
  <c r="J419"/>
  <c r="I419"/>
  <c r="H419"/>
  <c r="G419"/>
  <c r="F419"/>
  <c r="E419"/>
  <c r="D419"/>
  <c r="O488"/>
  <c r="N488"/>
  <c r="M488"/>
  <c r="L488"/>
  <c r="K488"/>
  <c r="J488"/>
  <c r="I488"/>
  <c r="H488"/>
  <c r="G488"/>
  <c r="F488"/>
  <c r="E488"/>
  <c r="D488"/>
  <c r="O485"/>
  <c r="N485"/>
  <c r="M485"/>
  <c r="O482"/>
  <c r="N482"/>
  <c r="M482"/>
  <c r="O479"/>
  <c r="N479"/>
  <c r="M479"/>
  <c r="L479"/>
  <c r="K479"/>
  <c r="J479"/>
  <c r="I479"/>
  <c r="H479"/>
  <c r="G479"/>
  <c r="F479"/>
  <c r="E479"/>
  <c r="D479"/>
  <c r="O476"/>
  <c r="N476"/>
  <c r="M476"/>
  <c r="O473"/>
  <c r="N473"/>
  <c r="M473"/>
  <c r="L473"/>
  <c r="K473"/>
  <c r="J473"/>
  <c r="I473"/>
  <c r="H473"/>
  <c r="G473"/>
  <c r="O470"/>
  <c r="N470"/>
  <c r="M470"/>
  <c r="L470"/>
  <c r="K470"/>
  <c r="J470"/>
  <c r="I470"/>
  <c r="H470"/>
  <c r="G470"/>
  <c r="F470"/>
  <c r="E470"/>
  <c r="D470"/>
  <c r="O467"/>
  <c r="N467"/>
  <c r="M467"/>
  <c r="L467"/>
  <c r="K467"/>
  <c r="J467"/>
  <c r="I467"/>
  <c r="H467"/>
  <c r="G467"/>
  <c r="F467"/>
  <c r="E467"/>
  <c r="D467"/>
  <c r="O464"/>
  <c r="N464"/>
  <c r="M464"/>
  <c r="L464"/>
  <c r="K464"/>
  <c r="J464"/>
  <c r="I464"/>
  <c r="H464"/>
  <c r="G464"/>
  <c r="F464"/>
  <c r="E464"/>
  <c r="D464"/>
  <c r="O461"/>
  <c r="N461"/>
  <c r="M461"/>
  <c r="L461"/>
  <c r="K461"/>
  <c r="J461"/>
  <c r="I461"/>
  <c r="H461"/>
  <c r="G461"/>
  <c r="F461"/>
  <c r="E461"/>
  <c r="D461"/>
  <c r="O458"/>
  <c r="N458"/>
  <c r="M458"/>
  <c r="L458"/>
  <c r="K458"/>
  <c r="J458"/>
  <c r="I458"/>
  <c r="H458"/>
  <c r="G458"/>
  <c r="F458"/>
  <c r="E458"/>
  <c r="D458"/>
  <c r="O455"/>
  <c r="N455"/>
  <c r="M455"/>
  <c r="L455"/>
  <c r="K455"/>
  <c r="J455"/>
  <c r="I455"/>
  <c r="H455"/>
  <c r="G455"/>
  <c r="F455"/>
  <c r="E455"/>
  <c r="D455"/>
  <c r="O452"/>
  <c r="N452"/>
  <c r="M452"/>
  <c r="L452"/>
  <c r="K452"/>
  <c r="J452"/>
  <c r="I452"/>
  <c r="H452"/>
  <c r="G452"/>
  <c r="F452"/>
  <c r="E452"/>
  <c r="D452"/>
  <c r="O449"/>
  <c r="N449"/>
  <c r="M449"/>
  <c r="L449"/>
  <c r="K449"/>
  <c r="J449"/>
  <c r="I449"/>
  <c r="H449"/>
  <c r="G449"/>
  <c r="F449"/>
  <c r="E449"/>
  <c r="D449"/>
  <c r="O446"/>
  <c r="N446"/>
  <c r="M446"/>
  <c r="L446"/>
  <c r="K446"/>
  <c r="J446"/>
  <c r="I446"/>
  <c r="H446"/>
  <c r="G446"/>
  <c r="F446"/>
  <c r="E446"/>
  <c r="D446"/>
  <c r="O443"/>
  <c r="N443"/>
  <c r="M443"/>
  <c r="L443"/>
  <c r="K443"/>
  <c r="J443"/>
  <c r="I443"/>
  <c r="H443"/>
  <c r="G443"/>
  <c r="F443"/>
  <c r="E443"/>
  <c r="D443"/>
  <c r="O440"/>
  <c r="N440"/>
  <c r="M440"/>
  <c r="I440"/>
  <c r="H440"/>
  <c r="O437"/>
  <c r="N437"/>
  <c r="M437"/>
  <c r="L437"/>
  <c r="K437"/>
  <c r="J437"/>
  <c r="I437"/>
  <c r="H437"/>
  <c r="G437"/>
  <c r="F437"/>
  <c r="E437"/>
  <c r="D437"/>
  <c r="O434"/>
  <c r="N434"/>
  <c r="M434"/>
  <c r="L434"/>
  <c r="K434"/>
  <c r="J434"/>
  <c r="I434"/>
  <c r="H434"/>
  <c r="G434"/>
  <c r="F434"/>
  <c r="E434"/>
  <c r="D434"/>
  <c r="O431"/>
  <c r="N431"/>
  <c r="M431"/>
  <c r="L431"/>
  <c r="K431"/>
  <c r="J431"/>
  <c r="I431"/>
  <c r="H431"/>
  <c r="G431"/>
  <c r="F431"/>
  <c r="E431"/>
  <c r="D431"/>
  <c r="O428"/>
  <c r="N428"/>
  <c r="M428"/>
  <c r="L428"/>
  <c r="K428"/>
  <c r="J428"/>
  <c r="I428"/>
  <c r="H428"/>
  <c r="G428"/>
  <c r="F428"/>
  <c r="E428"/>
  <c r="D428"/>
  <c r="O416" l="1"/>
  <c r="N416"/>
  <c r="M416"/>
  <c r="L416"/>
  <c r="K416"/>
  <c r="J416"/>
  <c r="I416"/>
  <c r="H416"/>
  <c r="G416"/>
  <c r="F416"/>
  <c r="E416"/>
  <c r="D416"/>
  <c r="O413"/>
  <c r="N413"/>
  <c r="M413"/>
  <c r="L413"/>
  <c r="K413"/>
  <c r="J413"/>
  <c r="I413"/>
  <c r="H413"/>
  <c r="G413"/>
  <c r="F413"/>
  <c r="E413"/>
  <c r="D413"/>
  <c r="O410"/>
  <c r="N410"/>
  <c r="M410"/>
  <c r="L410"/>
  <c r="K410"/>
  <c r="J410"/>
  <c r="I410"/>
  <c r="H410"/>
  <c r="G410"/>
  <c r="F410"/>
  <c r="E410"/>
  <c r="D410"/>
  <c r="O407"/>
  <c r="N407"/>
  <c r="M407"/>
  <c r="L407"/>
  <c r="O404"/>
  <c r="N404"/>
  <c r="M404"/>
  <c r="L404"/>
  <c r="K404"/>
  <c r="J404"/>
  <c r="I404"/>
  <c r="H404"/>
  <c r="G404"/>
  <c r="F404"/>
  <c r="E404"/>
  <c r="D404"/>
  <c r="O401"/>
  <c r="N401"/>
  <c r="M401"/>
  <c r="L401"/>
  <c r="K401"/>
  <c r="J401"/>
  <c r="I401"/>
  <c r="H401"/>
  <c r="G401"/>
  <c r="F401"/>
  <c r="E401"/>
  <c r="D401"/>
  <c r="O362"/>
  <c r="N362"/>
  <c r="M362"/>
  <c r="L362"/>
  <c r="K362"/>
  <c r="J362"/>
  <c r="I362"/>
  <c r="H362"/>
  <c r="G362"/>
  <c r="F362"/>
  <c r="E362"/>
  <c r="D362"/>
  <c r="G32" i="4"/>
  <c r="F32"/>
  <c r="E32"/>
  <c r="D32"/>
  <c r="C32"/>
  <c r="E251" i="17"/>
  <c r="F251"/>
  <c r="G251"/>
  <c r="H251"/>
  <c r="I251"/>
  <c r="J251"/>
  <c r="K251"/>
  <c r="L251"/>
  <c r="M251"/>
  <c r="N251"/>
  <c r="O251"/>
  <c r="E243"/>
  <c r="F243"/>
  <c r="G243"/>
  <c r="H243"/>
  <c r="I243"/>
  <c r="J243"/>
  <c r="K243"/>
  <c r="L243"/>
  <c r="M243"/>
  <c r="N243"/>
  <c r="O243"/>
  <c r="E34" i="4"/>
  <c r="D34"/>
  <c r="D244" i="17"/>
  <c r="D243"/>
  <c r="C53" i="4"/>
  <c r="O232" i="17" l="1"/>
  <c r="K232"/>
  <c r="M232"/>
  <c r="I232"/>
  <c r="F232"/>
  <c r="H232"/>
  <c r="N232"/>
  <c r="L232"/>
  <c r="J232"/>
  <c r="E232"/>
  <c r="G232"/>
  <c r="D232"/>
  <c r="C34" i="4"/>
  <c r="F34"/>
  <c r="G34"/>
  <c r="H35" i="27" l="1"/>
  <c r="K35"/>
  <c r="K35" i="31"/>
  <c r="H35"/>
  <c r="K35" i="30"/>
  <c r="K35" i="4"/>
  <c r="H35" i="30"/>
  <c r="D35" i="27"/>
  <c r="D35" i="31"/>
  <c r="D35" i="30"/>
  <c r="E35" i="27"/>
  <c r="E35" i="31"/>
  <c r="E35" i="30"/>
  <c r="J35" i="27"/>
  <c r="G35"/>
  <c r="G35" i="31"/>
  <c r="J35"/>
  <c r="G35" i="30"/>
  <c r="J35"/>
  <c r="J35" i="4"/>
  <c r="C35" i="27"/>
  <c r="C35" i="31"/>
  <c r="C35" i="30"/>
  <c r="F35" i="27"/>
  <c r="I35"/>
  <c r="I35" i="31"/>
  <c r="F35"/>
  <c r="I35" i="30"/>
  <c r="I35" i="4"/>
  <c r="F35" i="30"/>
  <c r="E158" i="17"/>
  <c r="F158"/>
  <c r="G158"/>
  <c r="H158"/>
  <c r="I158"/>
  <c r="J158"/>
  <c r="K158"/>
  <c r="L158"/>
  <c r="M158"/>
  <c r="N158"/>
  <c r="O158"/>
  <c r="E173"/>
  <c r="F173"/>
  <c r="G173"/>
  <c r="H173"/>
  <c r="I173"/>
  <c r="J173"/>
  <c r="K173"/>
  <c r="L173"/>
  <c r="M173"/>
  <c r="N173"/>
  <c r="O173"/>
  <c r="D173"/>
  <c r="E127"/>
  <c r="F127"/>
  <c r="G127"/>
  <c r="H127"/>
  <c r="I127"/>
  <c r="J127"/>
  <c r="K127"/>
  <c r="L127"/>
  <c r="M127"/>
  <c r="N127"/>
  <c r="O127"/>
  <c r="D127"/>
  <c r="E121"/>
  <c r="E136" s="1"/>
  <c r="E151" s="1"/>
  <c r="E167" s="1"/>
  <c r="F121"/>
  <c r="F136" s="1"/>
  <c r="F151" s="1"/>
  <c r="F167" s="1"/>
  <c r="G121"/>
  <c r="G136" s="1"/>
  <c r="G151" s="1"/>
  <c r="G167" s="1"/>
  <c r="H121"/>
  <c r="H136" s="1"/>
  <c r="H151" s="1"/>
  <c r="H167" s="1"/>
  <c r="I121"/>
  <c r="I136" s="1"/>
  <c r="I151" s="1"/>
  <c r="I167" s="1"/>
  <c r="J121"/>
  <c r="J136" s="1"/>
  <c r="J151" s="1"/>
  <c r="J167" s="1"/>
  <c r="K121"/>
  <c r="K136" s="1"/>
  <c r="K151" s="1"/>
  <c r="K167" s="1"/>
  <c r="L121"/>
  <c r="L136" s="1"/>
  <c r="L151" s="1"/>
  <c r="L167" s="1"/>
  <c r="M121"/>
  <c r="M136" s="1"/>
  <c r="M151" s="1"/>
  <c r="M167" s="1"/>
  <c r="N121"/>
  <c r="N136" s="1"/>
  <c r="N151" s="1"/>
  <c r="N167" s="1"/>
  <c r="O121"/>
  <c r="O136" s="1"/>
  <c r="O151" s="1"/>
  <c r="O167" s="1"/>
  <c r="D121"/>
  <c r="D136" s="1"/>
  <c r="D151" s="1"/>
  <c r="D167" s="1"/>
  <c r="E106"/>
  <c r="F106"/>
  <c r="G106"/>
  <c r="H106"/>
  <c r="I106"/>
  <c r="J106"/>
  <c r="K106"/>
  <c r="L106"/>
  <c r="M106"/>
  <c r="N106"/>
  <c r="O106"/>
  <c r="D106"/>
  <c r="E112"/>
  <c r="F112"/>
  <c r="G112"/>
  <c r="H112"/>
  <c r="I112"/>
  <c r="J112"/>
  <c r="K112"/>
  <c r="L112"/>
  <c r="M112"/>
  <c r="N112"/>
  <c r="O112"/>
  <c r="D112"/>
  <c r="H123"/>
  <c r="H138" s="1"/>
  <c r="H153" s="1"/>
  <c r="H169" s="1"/>
  <c r="I123"/>
  <c r="I138" s="1"/>
  <c r="I153" s="1"/>
  <c r="I169" s="1"/>
  <c r="J123"/>
  <c r="J138" s="1"/>
  <c r="J153" s="1"/>
  <c r="J169" s="1"/>
  <c r="K123"/>
  <c r="K138" s="1"/>
  <c r="K153" s="1"/>
  <c r="K169" s="1"/>
  <c r="L123"/>
  <c r="L138" s="1"/>
  <c r="L153" s="1"/>
  <c r="L169" s="1"/>
  <c r="M123"/>
  <c r="M138" s="1"/>
  <c r="M153" s="1"/>
  <c r="M169" s="1"/>
  <c r="N123"/>
  <c r="N138" s="1"/>
  <c r="N153" s="1"/>
  <c r="N169" s="1"/>
  <c r="O123"/>
  <c r="O138" s="1"/>
  <c r="O153" s="1"/>
  <c r="O169" s="1"/>
  <c r="E123"/>
  <c r="E138" s="1"/>
  <c r="E153" s="1"/>
  <c r="E169" s="1"/>
  <c r="F123"/>
  <c r="F138" s="1"/>
  <c r="F153" s="1"/>
  <c r="F169" s="1"/>
  <c r="G123"/>
  <c r="G138" s="1"/>
  <c r="G153" s="1"/>
  <c r="G169" s="1"/>
  <c r="D123"/>
  <c r="D138" s="1"/>
  <c r="D153" s="1"/>
  <c r="D169" s="1"/>
  <c r="D24" i="1"/>
  <c r="G58" i="21" l="1"/>
  <c r="O398" i="17" l="1"/>
  <c r="N398"/>
  <c r="M398"/>
  <c r="L398"/>
  <c r="K398"/>
  <c r="J398"/>
  <c r="I398"/>
  <c r="H398"/>
  <c r="G398"/>
  <c r="F398"/>
  <c r="E398"/>
  <c r="D398"/>
  <c r="E129"/>
  <c r="D15" i="32" s="1"/>
  <c r="F129" i="17"/>
  <c r="E15" i="32" s="1"/>
  <c r="G129" i="17"/>
  <c r="F15" i="32" s="1"/>
  <c r="H129" i="17"/>
  <c r="G15" i="32" s="1"/>
  <c r="I129" i="17"/>
  <c r="H15" i="32" s="1"/>
  <c r="J129" i="17"/>
  <c r="I15" i="32" s="1"/>
  <c r="K129" i="17"/>
  <c r="J15" i="32" s="1"/>
  <c r="L129" i="17"/>
  <c r="K15" i="32" s="1"/>
  <c r="M129" i="17"/>
  <c r="N129"/>
  <c r="O129"/>
  <c r="D129"/>
  <c r="C15" i="32" s="1"/>
  <c r="O42" i="17"/>
  <c r="M64"/>
  <c r="L64"/>
  <c r="K64"/>
  <c r="J64"/>
  <c r="I64"/>
  <c r="D62"/>
  <c r="M62"/>
  <c r="L62"/>
  <c r="K62"/>
  <c r="J62"/>
  <c r="I62"/>
  <c r="H62"/>
  <c r="G62"/>
  <c r="F62"/>
  <c r="E62"/>
  <c r="C15" i="27" l="1"/>
  <c r="C15" i="31"/>
  <c r="C15" i="30"/>
  <c r="K15" i="27"/>
  <c r="K15" i="31"/>
  <c r="K15" i="30"/>
  <c r="K15" i="4"/>
  <c r="I15" i="27"/>
  <c r="I15" i="31"/>
  <c r="I15" i="30"/>
  <c r="I15" i="4"/>
  <c r="G15" i="27"/>
  <c r="G15" i="31"/>
  <c r="G15" i="30"/>
  <c r="E15" i="27"/>
  <c r="E15" i="31"/>
  <c r="E15" i="30"/>
  <c r="J15" i="27"/>
  <c r="J15" i="31"/>
  <c r="J15" i="4"/>
  <c r="J15" i="30"/>
  <c r="H15" i="27"/>
  <c r="H15" i="31"/>
  <c r="H15" i="30"/>
  <c r="F15" i="27"/>
  <c r="F15" i="31"/>
  <c r="F15" i="30"/>
  <c r="D15" i="4"/>
  <c r="D15" i="27"/>
  <c r="D15" i="31"/>
  <c r="D15" i="30"/>
  <c r="E15" i="4"/>
  <c r="H15"/>
  <c r="C15"/>
  <c r="G15"/>
  <c r="F15"/>
  <c r="O252" i="17" l="1"/>
  <c r="I252"/>
  <c r="J252"/>
  <c r="K252"/>
  <c r="L252"/>
  <c r="M252"/>
  <c r="N252"/>
  <c r="H252"/>
  <c r="E252"/>
  <c r="F252"/>
  <c r="G252"/>
  <c r="D252"/>
  <c r="O244"/>
  <c r="N244"/>
  <c r="M244"/>
  <c r="L244"/>
  <c r="K244"/>
  <c r="J244"/>
  <c r="I244"/>
  <c r="H244"/>
  <c r="G244"/>
  <c r="F244"/>
  <c r="E244"/>
  <c r="D251"/>
  <c r="N42"/>
  <c r="M42"/>
  <c r="L42"/>
  <c r="K42"/>
  <c r="J42"/>
  <c r="I42"/>
  <c r="H42"/>
  <c r="G42"/>
  <c r="F42"/>
  <c r="D296"/>
  <c r="D294"/>
  <c r="D293"/>
  <c r="J23"/>
  <c r="D23"/>
  <c r="O23" l="1"/>
  <c r="H23"/>
  <c r="I23"/>
  <c r="N23"/>
  <c r="E23"/>
  <c r="K23"/>
  <c r="L23"/>
  <c r="M23"/>
  <c r="G23"/>
  <c r="F23"/>
  <c r="O83" l="1"/>
  <c r="N83"/>
  <c r="M83"/>
  <c r="L83"/>
  <c r="K83"/>
  <c r="J83"/>
  <c r="I83"/>
  <c r="H83"/>
  <c r="G83"/>
  <c r="F83"/>
  <c r="E83"/>
  <c r="D83"/>
  <c r="G50" i="21"/>
  <c r="G42"/>
  <c r="C42"/>
  <c r="C50"/>
  <c r="G34"/>
  <c r="C34"/>
  <c r="G26"/>
  <c r="C26"/>
  <c r="G18"/>
  <c r="C18"/>
  <c r="G10"/>
  <c r="C10"/>
  <c r="E42" i="17"/>
  <c r="D42"/>
  <c r="D86"/>
  <c r="D88"/>
  <c r="E88"/>
  <c r="F88"/>
  <c r="G88"/>
  <c r="H88"/>
  <c r="I88"/>
  <c r="J88"/>
  <c r="K88"/>
  <c r="L88"/>
  <c r="O88" s="1"/>
  <c r="B12" i="1"/>
  <c r="B11"/>
  <c r="B10"/>
  <c r="B9"/>
  <c r="E64" i="17"/>
  <c r="F64"/>
  <c r="G64"/>
  <c r="H64"/>
  <c r="D64"/>
  <c r="D63"/>
  <c r="O31"/>
  <c r="N31"/>
  <c r="K31"/>
  <c r="L31"/>
  <c r="M31"/>
  <c r="J31"/>
  <c r="I31"/>
  <c r="E31"/>
  <c r="F31"/>
  <c r="G31"/>
  <c r="H31"/>
  <c r="O32"/>
  <c r="D31"/>
  <c r="N32"/>
  <c r="K32"/>
  <c r="L32"/>
  <c r="M32"/>
  <c r="J32"/>
  <c r="I32"/>
  <c r="E32"/>
  <c r="F32"/>
  <c r="G32"/>
  <c r="H32"/>
  <c r="D32"/>
  <c r="O33"/>
  <c r="N33"/>
  <c r="K33"/>
  <c r="L33"/>
  <c r="M33"/>
  <c r="J33"/>
  <c r="I33"/>
  <c r="E33"/>
  <c r="F33"/>
  <c r="G33"/>
  <c r="H33"/>
  <c r="D33"/>
  <c r="O63"/>
  <c r="N63"/>
  <c r="K63"/>
  <c r="L63"/>
  <c r="M63"/>
  <c r="J63"/>
  <c r="I63"/>
  <c r="E63"/>
  <c r="F63"/>
  <c r="G63"/>
  <c r="H63"/>
  <c r="J19" i="1" l="1"/>
  <c r="F19"/>
  <c r="I19"/>
  <c r="E19"/>
  <c r="C19"/>
  <c r="H19"/>
  <c r="D19"/>
  <c r="K19"/>
  <c r="G19"/>
  <c r="D35" i="17"/>
  <c r="C9" i="1" s="1"/>
  <c r="N88" i="17"/>
  <c r="M88"/>
  <c r="M35"/>
  <c r="I35"/>
  <c r="H9" i="1" s="1"/>
  <c r="K35" i="17"/>
  <c r="J9" i="1" s="1"/>
  <c r="F35" i="17"/>
  <c r="E9" i="1" s="1"/>
  <c r="O35" i="17"/>
  <c r="E35"/>
  <c r="D9" i="1" s="1"/>
  <c r="L35" i="17"/>
  <c r="K9" i="1" s="1"/>
  <c r="H35" i="17"/>
  <c r="G9" i="1" s="1"/>
  <c r="G35" i="17"/>
  <c r="F9" i="1" s="1"/>
  <c r="J35" i="17"/>
  <c r="I9" i="1" s="1"/>
  <c r="N35" i="17"/>
  <c r="L43" l="1"/>
  <c r="K10" i="1" s="1"/>
  <c r="M43" i="17"/>
  <c r="N43"/>
  <c r="O43"/>
  <c r="K43"/>
  <c r="J43"/>
  <c r="I43"/>
  <c r="H43"/>
  <c r="G43"/>
  <c r="F10" i="1" s="1"/>
  <c r="F43" i="17"/>
  <c r="E10" i="1" s="1"/>
  <c r="E43" i="17"/>
  <c r="D10" i="1" s="1"/>
  <c r="D43" i="17"/>
  <c r="C10" i="1" s="1"/>
  <c r="J10" l="1"/>
  <c r="I10"/>
  <c r="H10"/>
  <c r="G10"/>
  <c r="J396" i="17" l="1"/>
  <c r="E290" l="1"/>
  <c r="F290"/>
  <c r="G290"/>
  <c r="H290"/>
  <c r="I290"/>
  <c r="J290"/>
  <c r="K290"/>
  <c r="L290"/>
  <c r="M290"/>
  <c r="N290"/>
  <c r="O290"/>
  <c r="D290"/>
  <c r="E289"/>
  <c r="F289"/>
  <c r="G289"/>
  <c r="H289"/>
  <c r="H291" s="1"/>
  <c r="I289"/>
  <c r="I291" s="1"/>
  <c r="J289"/>
  <c r="K289"/>
  <c r="L289"/>
  <c r="L291" s="1"/>
  <c r="M289"/>
  <c r="M291" s="1"/>
  <c r="N289"/>
  <c r="N291" s="1"/>
  <c r="O289"/>
  <c r="O291" s="1"/>
  <c r="D289"/>
  <c r="D291" s="1"/>
  <c r="D261" s="1"/>
  <c r="O281"/>
  <c r="N281"/>
  <c r="M281"/>
  <c r="L281"/>
  <c r="K281"/>
  <c r="J281"/>
  <c r="I281"/>
  <c r="H281"/>
  <c r="G281"/>
  <c r="F281"/>
  <c r="E281"/>
  <c r="D281"/>
  <c r="O280"/>
  <c r="N280"/>
  <c r="M280"/>
  <c r="L280"/>
  <c r="K280"/>
  <c r="J280"/>
  <c r="I280"/>
  <c r="H280"/>
  <c r="G280"/>
  <c r="F280"/>
  <c r="E280"/>
  <c r="D280"/>
  <c r="O279"/>
  <c r="O282" s="1"/>
  <c r="O260" s="1"/>
  <c r="N279"/>
  <c r="N282" s="1"/>
  <c r="N260" s="1"/>
  <c r="M279"/>
  <c r="M282" s="1"/>
  <c r="M260" s="1"/>
  <c r="L279"/>
  <c r="L282" s="1"/>
  <c r="L260" s="1"/>
  <c r="K279"/>
  <c r="K282" s="1"/>
  <c r="K260" s="1"/>
  <c r="J279"/>
  <c r="J282" s="1"/>
  <c r="J260" s="1"/>
  <c r="I279"/>
  <c r="I282" s="1"/>
  <c r="I260" s="1"/>
  <c r="H279"/>
  <c r="H282" s="1"/>
  <c r="H260" s="1"/>
  <c r="G279"/>
  <c r="G282" s="1"/>
  <c r="G260" s="1"/>
  <c r="F279"/>
  <c r="F282" s="1"/>
  <c r="F260" s="1"/>
  <c r="E279"/>
  <c r="E282" s="1"/>
  <c r="E260" s="1"/>
  <c r="D279"/>
  <c r="D282" s="1"/>
  <c r="D260" s="1"/>
  <c r="E271"/>
  <c r="F271"/>
  <c r="G271"/>
  <c r="H271"/>
  <c r="I271"/>
  <c r="J271"/>
  <c r="K271"/>
  <c r="L271"/>
  <c r="M271"/>
  <c r="N271"/>
  <c r="O271"/>
  <c r="D271"/>
  <c r="E270"/>
  <c r="F270"/>
  <c r="G270"/>
  <c r="H270"/>
  <c r="I270"/>
  <c r="J270"/>
  <c r="K270"/>
  <c r="L270"/>
  <c r="M270"/>
  <c r="N270"/>
  <c r="O270"/>
  <c r="D270"/>
  <c r="E269"/>
  <c r="F269"/>
  <c r="G269"/>
  <c r="G272" s="1"/>
  <c r="H269"/>
  <c r="H272" s="1"/>
  <c r="I269"/>
  <c r="I272" s="1"/>
  <c r="J269"/>
  <c r="K269"/>
  <c r="K272" s="1"/>
  <c r="L269"/>
  <c r="L272" s="1"/>
  <c r="M269"/>
  <c r="M272" s="1"/>
  <c r="N269"/>
  <c r="N272" s="1"/>
  <c r="O269"/>
  <c r="D269"/>
  <c r="D272" s="1"/>
  <c r="D259" s="1"/>
  <c r="E291" l="1"/>
  <c r="E261" s="1"/>
  <c r="J272"/>
  <c r="O272"/>
  <c r="O262" s="1"/>
  <c r="J291"/>
  <c r="F272"/>
  <c r="F291"/>
  <c r="E272"/>
  <c r="E259" s="1"/>
  <c r="K291"/>
  <c r="K262" s="1"/>
  <c r="G291"/>
  <c r="G262" s="1"/>
  <c r="I262"/>
  <c r="D262"/>
  <c r="L262"/>
  <c r="H262"/>
  <c r="N262"/>
  <c r="J262"/>
  <c r="M262"/>
  <c r="O245"/>
  <c r="H253"/>
  <c r="H233" s="1"/>
  <c r="D253"/>
  <c r="L253"/>
  <c r="L245"/>
  <c r="E253"/>
  <c r="J245"/>
  <c r="M253"/>
  <c r="M233" s="1"/>
  <c r="J253"/>
  <c r="H245"/>
  <c r="I245"/>
  <c r="F245"/>
  <c r="F253"/>
  <c r="E245"/>
  <c r="K253"/>
  <c r="N253"/>
  <c r="N233" s="1"/>
  <c r="N245"/>
  <c r="I253"/>
  <c r="O253"/>
  <c r="O233" s="1"/>
  <c r="G253"/>
  <c r="G233" s="1"/>
  <c r="M245"/>
  <c r="K245"/>
  <c r="G245"/>
  <c r="D245"/>
  <c r="C36" i="27" l="1"/>
  <c r="C36" i="31"/>
  <c r="C36" i="30"/>
  <c r="D36" i="27"/>
  <c r="D36" i="31"/>
  <c r="D36" i="30"/>
  <c r="L233" i="17"/>
  <c r="K233"/>
  <c r="D233"/>
  <c r="H234"/>
  <c r="L234"/>
  <c r="D234"/>
  <c r="F234"/>
  <c r="N234"/>
  <c r="G234"/>
  <c r="K234"/>
  <c r="E234"/>
  <c r="I234"/>
  <c r="M234"/>
  <c r="J234"/>
  <c r="O234"/>
  <c r="F233"/>
  <c r="J233"/>
  <c r="I233"/>
  <c r="E233"/>
  <c r="E262"/>
  <c r="F262"/>
  <c r="O61"/>
  <c r="O65" s="1"/>
  <c r="N61"/>
  <c r="N65" s="1"/>
  <c r="K61"/>
  <c r="K65" s="1"/>
  <c r="L61"/>
  <c r="L65" s="1"/>
  <c r="M61"/>
  <c r="J61"/>
  <c r="J65" s="1"/>
  <c r="I61"/>
  <c r="I65" s="1"/>
  <c r="E61"/>
  <c r="F61"/>
  <c r="G61"/>
  <c r="H61"/>
  <c r="H65" s="1"/>
  <c r="D61"/>
  <c r="I24" i="27" l="1"/>
  <c r="I24" i="31"/>
  <c r="I24" i="30"/>
  <c r="K24" i="27"/>
  <c r="K24" i="31"/>
  <c r="K24" i="30"/>
  <c r="I36" i="27"/>
  <c r="F36"/>
  <c r="F36" i="31"/>
  <c r="I36"/>
  <c r="F36" i="30"/>
  <c r="I36"/>
  <c r="I36" i="4"/>
  <c r="C37" i="27"/>
  <c r="C40" s="1"/>
  <c r="C37" i="31"/>
  <c r="C37" i="30"/>
  <c r="H37" i="27"/>
  <c r="K37"/>
  <c r="K37" i="31"/>
  <c r="H37"/>
  <c r="K37" i="30"/>
  <c r="K37" i="4"/>
  <c r="H37" i="30"/>
  <c r="K36" i="27"/>
  <c r="H36"/>
  <c r="H40" s="1"/>
  <c r="H36" i="31"/>
  <c r="H40" s="1"/>
  <c r="K36"/>
  <c r="K40" s="1"/>
  <c r="H36" i="30"/>
  <c r="K36"/>
  <c r="K36" i="4"/>
  <c r="C40" i="30"/>
  <c r="H24" i="27"/>
  <c r="H24" i="31"/>
  <c r="H24" i="30"/>
  <c r="G11" i="1"/>
  <c r="J24" i="27"/>
  <c r="J24" i="31"/>
  <c r="J24" i="30"/>
  <c r="E36" i="27"/>
  <c r="E36" i="31"/>
  <c r="E36" i="30"/>
  <c r="F37" i="27"/>
  <c r="I37"/>
  <c r="I37" i="31"/>
  <c r="F37"/>
  <c r="I37" i="30"/>
  <c r="I37" i="4"/>
  <c r="F37" i="30"/>
  <c r="E37" i="27"/>
  <c r="E37" i="31"/>
  <c r="E37" i="30"/>
  <c r="J37" i="27"/>
  <c r="G37"/>
  <c r="G37" i="31"/>
  <c r="J37"/>
  <c r="G37" i="30"/>
  <c r="J37"/>
  <c r="J37" i="4"/>
  <c r="D37" i="27"/>
  <c r="D40" s="1"/>
  <c r="D37" i="31"/>
  <c r="D40" s="1"/>
  <c r="D37" i="30"/>
  <c r="G36" i="27"/>
  <c r="J36"/>
  <c r="J36" i="31"/>
  <c r="G36"/>
  <c r="J36" i="30"/>
  <c r="J36" i="4"/>
  <c r="G36" i="30"/>
  <c r="G40" s="1"/>
  <c r="D40"/>
  <c r="C40" i="31"/>
  <c r="G65" i="17"/>
  <c r="F65"/>
  <c r="D65"/>
  <c r="E65"/>
  <c r="K11" i="1"/>
  <c r="J11"/>
  <c r="I11"/>
  <c r="H11"/>
  <c r="M65" i="17"/>
  <c r="J40" i="31" l="1"/>
  <c r="G40" i="27"/>
  <c r="J40" i="4"/>
  <c r="H40" i="30"/>
  <c r="J40"/>
  <c r="I40"/>
  <c r="K40"/>
  <c r="J40" i="27"/>
  <c r="K40"/>
  <c r="I40"/>
  <c r="K40" i="4"/>
  <c r="I40" i="31"/>
  <c r="I40" i="4"/>
  <c r="C24" i="27"/>
  <c r="C24" i="31"/>
  <c r="C24" i="30"/>
  <c r="C11" i="1"/>
  <c r="G24" i="27"/>
  <c r="G24" i="31"/>
  <c r="G24" i="30"/>
  <c r="F11" i="1"/>
  <c r="E40" i="31"/>
  <c r="F40" i="27"/>
  <c r="D24"/>
  <c r="D24" i="31"/>
  <c r="D24" i="30"/>
  <c r="D11" i="1"/>
  <c r="D13" s="1"/>
  <c r="E24" i="27"/>
  <c r="F24"/>
  <c r="F24" i="31"/>
  <c r="E24"/>
  <c r="F24" i="30"/>
  <c r="E24"/>
  <c r="E11" i="1"/>
  <c r="G40" i="31"/>
  <c r="E40" i="30"/>
  <c r="E40" i="27"/>
  <c r="F40" i="30"/>
  <c r="F40" i="31"/>
  <c r="H13" i="1"/>
  <c r="H14" s="1"/>
  <c r="H65" i="32" s="1"/>
  <c r="H68" s="1"/>
  <c r="J13" i="1"/>
  <c r="J14" s="1"/>
  <c r="J65" i="32" s="1"/>
  <c r="J68" s="1"/>
  <c r="G13" i="1"/>
  <c r="G14" s="1"/>
  <c r="G65" i="32" s="1"/>
  <c r="G68" s="1"/>
  <c r="I13" i="1"/>
  <c r="I14" s="1"/>
  <c r="I65" i="32" s="1"/>
  <c r="I68" s="1"/>
  <c r="K13" i="1"/>
  <c r="K14" s="1"/>
  <c r="K65" i="32" s="1"/>
  <c r="K68" l="1"/>
  <c r="I60" i="27"/>
  <c r="I60" i="30"/>
  <c r="I60" i="4"/>
  <c r="J60" i="27"/>
  <c r="J60" i="30"/>
  <c r="J60" i="4"/>
  <c r="K60" i="27"/>
  <c r="K64" s="1"/>
  <c r="K65" s="1"/>
  <c r="K60" i="30"/>
  <c r="K64" s="1"/>
  <c r="K65" s="1"/>
  <c r="K60" i="4"/>
  <c r="K64" s="1"/>
  <c r="K65" s="1"/>
  <c r="G60" i="27"/>
  <c r="F60"/>
  <c r="F60" i="30"/>
  <c r="G60"/>
  <c r="H60" i="27"/>
  <c r="H60" i="30"/>
  <c r="E13" i="1"/>
  <c r="E14" s="1"/>
  <c r="E65" i="32" s="1"/>
  <c r="E68" s="1"/>
  <c r="C13" i="1"/>
  <c r="C14" s="1"/>
  <c r="C65" i="32" s="1"/>
  <c r="F13" i="1"/>
  <c r="F14" s="1"/>
  <c r="F65" i="32" s="1"/>
  <c r="F68" s="1"/>
  <c r="D14" i="1"/>
  <c r="D65" i="32" s="1"/>
  <c r="D68" s="1"/>
  <c r="O395" i="17"/>
  <c r="N395"/>
  <c r="M395"/>
  <c r="L395"/>
  <c r="K395"/>
  <c r="J395"/>
  <c r="I395"/>
  <c r="H395"/>
  <c r="G395"/>
  <c r="F395"/>
  <c r="E395"/>
  <c r="D395"/>
  <c r="O392"/>
  <c r="N392"/>
  <c r="M392"/>
  <c r="L392"/>
  <c r="K392"/>
  <c r="J392"/>
  <c r="I392"/>
  <c r="H392"/>
  <c r="G392"/>
  <c r="F392"/>
  <c r="E392"/>
  <c r="D392"/>
  <c r="O389"/>
  <c r="N389"/>
  <c r="M389"/>
  <c r="L389"/>
  <c r="K389"/>
  <c r="J389"/>
  <c r="I389"/>
  <c r="H389"/>
  <c r="G389"/>
  <c r="F389"/>
  <c r="E389"/>
  <c r="D389"/>
  <c r="O386"/>
  <c r="N386"/>
  <c r="M386"/>
  <c r="L386"/>
  <c r="K386"/>
  <c r="J386"/>
  <c r="I386"/>
  <c r="H386"/>
  <c r="G386"/>
  <c r="F386"/>
  <c r="E386"/>
  <c r="D386"/>
  <c r="O383"/>
  <c r="N383"/>
  <c r="M383"/>
  <c r="L383"/>
  <c r="K383"/>
  <c r="J383"/>
  <c r="I383"/>
  <c r="H383"/>
  <c r="G383"/>
  <c r="F383"/>
  <c r="E383"/>
  <c r="D383"/>
  <c r="O380"/>
  <c r="N380"/>
  <c r="M380"/>
  <c r="L380"/>
  <c r="K380"/>
  <c r="J380"/>
  <c r="I380"/>
  <c r="H380"/>
  <c r="G380"/>
  <c r="F380"/>
  <c r="E380"/>
  <c r="D380"/>
  <c r="O377"/>
  <c r="N377"/>
  <c r="M377"/>
  <c r="L377"/>
  <c r="K377"/>
  <c r="J377"/>
  <c r="I377"/>
  <c r="H377"/>
  <c r="G377"/>
  <c r="F377"/>
  <c r="E377"/>
  <c r="D377"/>
  <c r="O374"/>
  <c r="N374"/>
  <c r="M374"/>
  <c r="L374"/>
  <c r="K374"/>
  <c r="J374"/>
  <c r="I374"/>
  <c r="H374"/>
  <c r="G374"/>
  <c r="F374"/>
  <c r="E374"/>
  <c r="D374"/>
  <c r="O371"/>
  <c r="N371"/>
  <c r="M371"/>
  <c r="L371"/>
  <c r="K371"/>
  <c r="J371"/>
  <c r="I371"/>
  <c r="H371"/>
  <c r="G371"/>
  <c r="F371"/>
  <c r="E371"/>
  <c r="D371"/>
  <c r="I64" i="30" l="1"/>
  <c r="I65" s="1"/>
  <c r="I63"/>
  <c r="I64" i="27"/>
  <c r="I65" s="1"/>
  <c r="I63"/>
  <c r="I64" i="4"/>
  <c r="I65" s="1"/>
  <c r="I63"/>
  <c r="D60" i="27"/>
  <c r="D60" i="30"/>
  <c r="C60" i="27"/>
  <c r="C60" i="30"/>
  <c r="E60" i="27"/>
  <c r="E60" i="30"/>
  <c r="O368" i="17"/>
  <c r="N368"/>
  <c r="M368"/>
  <c r="L368"/>
  <c r="K368"/>
  <c r="J368"/>
  <c r="I368"/>
  <c r="H368"/>
  <c r="G368"/>
  <c r="F368"/>
  <c r="E368"/>
  <c r="D368"/>
  <c r="O365"/>
  <c r="N365"/>
  <c r="M365"/>
  <c r="L365"/>
  <c r="K365"/>
  <c r="J365"/>
  <c r="I365"/>
  <c r="H365"/>
  <c r="G365"/>
  <c r="F365"/>
  <c r="E365"/>
  <c r="D365"/>
  <c r="G37" i="4"/>
  <c r="F37"/>
  <c r="E37"/>
  <c r="D37"/>
  <c r="C37"/>
  <c r="H36"/>
  <c r="G36"/>
  <c r="F36"/>
  <c r="E36"/>
  <c r="D36"/>
  <c r="H34"/>
  <c r="H31"/>
  <c r="G31"/>
  <c r="F31"/>
  <c r="E31"/>
  <c r="D31"/>
  <c r="C31"/>
  <c r="D58" i="1"/>
  <c r="E58" s="1"/>
  <c r="D37"/>
  <c r="E37" s="1"/>
  <c r="I17" s="1"/>
  <c r="D18"/>
  <c r="E18"/>
  <c r="F18"/>
  <c r="G18"/>
  <c r="H18"/>
  <c r="I18"/>
  <c r="J18"/>
  <c r="C18"/>
  <c r="O359" i="17"/>
  <c r="O218" s="1"/>
  <c r="O219" s="1"/>
  <c r="N359"/>
  <c r="N218" s="1"/>
  <c r="N219" s="1"/>
  <c r="M359"/>
  <c r="M218" s="1"/>
  <c r="M219" s="1"/>
  <c r="L359"/>
  <c r="L218" s="1"/>
  <c r="L219" s="1"/>
  <c r="K359"/>
  <c r="K218" s="1"/>
  <c r="K219" s="1"/>
  <c r="J359"/>
  <c r="J218" s="1"/>
  <c r="J219" s="1"/>
  <c r="I359"/>
  <c r="I218" s="1"/>
  <c r="I219" s="1"/>
  <c r="H359"/>
  <c r="H218" s="1"/>
  <c r="H219" s="1"/>
  <c r="G359"/>
  <c r="F359"/>
  <c r="F218" s="1"/>
  <c r="F219" s="1"/>
  <c r="E359"/>
  <c r="E218" s="1"/>
  <c r="D359"/>
  <c r="D218" s="1"/>
  <c r="D219" s="1"/>
  <c r="O211"/>
  <c r="O212" s="1"/>
  <c r="N211"/>
  <c r="N212" s="1"/>
  <c r="M211"/>
  <c r="M212" s="1"/>
  <c r="E353"/>
  <c r="E183" s="1"/>
  <c r="F353"/>
  <c r="F183" s="1"/>
  <c r="G353"/>
  <c r="G183" s="1"/>
  <c r="H353"/>
  <c r="H183" s="1"/>
  <c r="I353"/>
  <c r="I183" s="1"/>
  <c r="J353"/>
  <c r="J183" s="1"/>
  <c r="K353"/>
  <c r="K183" s="1"/>
  <c r="L353"/>
  <c r="L183" s="1"/>
  <c r="M353"/>
  <c r="M183" s="1"/>
  <c r="N353"/>
  <c r="N183" s="1"/>
  <c r="O353"/>
  <c r="O183" s="1"/>
  <c r="D353"/>
  <c r="D183" s="1"/>
  <c r="E350"/>
  <c r="E182" s="1"/>
  <c r="F350"/>
  <c r="F182" s="1"/>
  <c r="G350"/>
  <c r="G182" s="1"/>
  <c r="H350"/>
  <c r="H182" s="1"/>
  <c r="I350"/>
  <c r="I182" s="1"/>
  <c r="J350"/>
  <c r="J182" s="1"/>
  <c r="K350"/>
  <c r="K182" s="1"/>
  <c r="L350"/>
  <c r="L182" s="1"/>
  <c r="M350"/>
  <c r="M182" s="1"/>
  <c r="N350"/>
  <c r="N182" s="1"/>
  <c r="O350"/>
  <c r="O182" s="1"/>
  <c r="D350"/>
  <c r="D182" s="1"/>
  <c r="I48" i="27" l="1"/>
  <c r="I50" s="1"/>
  <c r="F48"/>
  <c r="F50" s="1"/>
  <c r="F48" i="31"/>
  <c r="F50" s="1"/>
  <c r="I48"/>
  <c r="I50" s="1"/>
  <c r="I48" i="30"/>
  <c r="I50" s="1"/>
  <c r="F48"/>
  <c r="F50" s="1"/>
  <c r="I48" i="4"/>
  <c r="I50" s="1"/>
  <c r="G54" i="27"/>
  <c r="G56" s="1"/>
  <c r="J54"/>
  <c r="J56" s="1"/>
  <c r="J54" i="31"/>
  <c r="J56" s="1"/>
  <c r="J54" i="30"/>
  <c r="J56" s="1"/>
  <c r="G54" i="31"/>
  <c r="G56" s="1"/>
  <c r="G54" i="30"/>
  <c r="G56" s="1"/>
  <c r="J54" i="4"/>
  <c r="J56" s="1"/>
  <c r="D48" i="27"/>
  <c r="D50" s="1"/>
  <c r="D48" i="31"/>
  <c r="D50" s="1"/>
  <c r="D48" i="30"/>
  <c r="D50" s="1"/>
  <c r="K48" i="27"/>
  <c r="K50" s="1"/>
  <c r="H48"/>
  <c r="H50" s="1"/>
  <c r="H48" i="31"/>
  <c r="H50" s="1"/>
  <c r="K48"/>
  <c r="K50" s="1"/>
  <c r="K48" i="30"/>
  <c r="K50" s="1"/>
  <c r="H48"/>
  <c r="H50" s="1"/>
  <c r="K48" i="4"/>
  <c r="K50" s="1"/>
  <c r="C20" i="1"/>
  <c r="C22" s="1"/>
  <c r="C21" s="1"/>
  <c r="I20"/>
  <c r="I22" s="1"/>
  <c r="I21" s="1"/>
  <c r="C54" i="27"/>
  <c r="C56" s="1"/>
  <c r="C54" i="31"/>
  <c r="C56" s="1"/>
  <c r="C54" i="30"/>
  <c r="C56" s="1"/>
  <c r="E54" i="27"/>
  <c r="E56" s="1"/>
  <c r="E54" i="31"/>
  <c r="E56" s="1"/>
  <c r="E54" i="30"/>
  <c r="E56" s="1"/>
  <c r="E48" i="27"/>
  <c r="E50" s="1"/>
  <c r="E48" i="31"/>
  <c r="E50" s="1"/>
  <c r="E48" i="30"/>
  <c r="E50" s="1"/>
  <c r="G48" i="27"/>
  <c r="G50" s="1"/>
  <c r="J48"/>
  <c r="J50" s="1"/>
  <c r="J48" i="31"/>
  <c r="J50" s="1"/>
  <c r="G48"/>
  <c r="G50" s="1"/>
  <c r="G48" i="30"/>
  <c r="G50" s="1"/>
  <c r="J48"/>
  <c r="J50" s="1"/>
  <c r="J48" i="4"/>
  <c r="J50" s="1"/>
  <c r="J20" i="1"/>
  <c r="J22" s="1"/>
  <c r="J21" s="1"/>
  <c r="H20"/>
  <c r="H22" s="1"/>
  <c r="H21" s="1"/>
  <c r="D20"/>
  <c r="D22" s="1"/>
  <c r="D21" s="1"/>
  <c r="D54" i="27"/>
  <c r="D56" s="1"/>
  <c r="D54" i="31"/>
  <c r="D56" s="1"/>
  <c r="D54" i="30"/>
  <c r="D56" s="1"/>
  <c r="I54" i="27"/>
  <c r="I56" s="1"/>
  <c r="F54"/>
  <c r="F56" s="1"/>
  <c r="F54" i="31"/>
  <c r="F56" s="1"/>
  <c r="I54"/>
  <c r="I56" s="1"/>
  <c r="I54" i="30"/>
  <c r="I56" s="1"/>
  <c r="F54"/>
  <c r="F56" s="1"/>
  <c r="I54" i="4"/>
  <c r="I56" s="1"/>
  <c r="K54" i="27"/>
  <c r="K56" s="1"/>
  <c r="H54"/>
  <c r="H56" s="1"/>
  <c r="H54" i="31"/>
  <c r="H56" s="1"/>
  <c r="K54"/>
  <c r="K56" s="1"/>
  <c r="K54" i="30"/>
  <c r="K56" s="1"/>
  <c r="H54"/>
  <c r="H56" s="1"/>
  <c r="K54" i="4"/>
  <c r="K56" s="1"/>
  <c r="E48"/>
  <c r="C54"/>
  <c r="C56" s="1"/>
  <c r="G54"/>
  <c r="G56" s="1"/>
  <c r="F48"/>
  <c r="H211" i="17"/>
  <c r="H212" s="1"/>
  <c r="G218"/>
  <c r="G219" s="1"/>
  <c r="G48" i="4"/>
  <c r="D48"/>
  <c r="H48"/>
  <c r="E211" i="17"/>
  <c r="E212" s="1"/>
  <c r="F211"/>
  <c r="F212" s="1"/>
  <c r="G211"/>
  <c r="G212" s="1"/>
  <c r="D211"/>
  <c r="D212" s="1"/>
  <c r="K211"/>
  <c r="K212" s="1"/>
  <c r="J211"/>
  <c r="J212" s="1"/>
  <c r="L211"/>
  <c r="L212" s="1"/>
  <c r="I211"/>
  <c r="I212" s="1"/>
  <c r="D35" i="4"/>
  <c r="H35"/>
  <c r="E35"/>
  <c r="F35"/>
  <c r="C35"/>
  <c r="G35"/>
  <c r="D34" i="1"/>
  <c r="E34" s="1"/>
  <c r="K18"/>
  <c r="D61"/>
  <c r="E61" s="1"/>
  <c r="D57"/>
  <c r="E57" s="1"/>
  <c r="D60"/>
  <c r="E60" s="1"/>
  <c r="D56"/>
  <c r="E56" s="1"/>
  <c r="D59"/>
  <c r="E59" s="1"/>
  <c r="D55"/>
  <c r="E55" s="1"/>
  <c r="E20" s="1"/>
  <c r="E22" s="1"/>
  <c r="E21" s="1"/>
  <c r="H37" i="4"/>
  <c r="E54"/>
  <c r="E56" s="1"/>
  <c r="H54"/>
  <c r="H56" s="1"/>
  <c r="D54"/>
  <c r="D56" s="1"/>
  <c r="F54"/>
  <c r="F56" s="1"/>
  <c r="C36"/>
  <c r="E219" i="17"/>
  <c r="D36" i="1"/>
  <c r="D35"/>
  <c r="E35" s="1"/>
  <c r="D40"/>
  <c r="E40" s="1"/>
  <c r="D39"/>
  <c r="E39" s="1"/>
  <c r="K17" s="1"/>
  <c r="D42"/>
  <c r="E42" s="1"/>
  <c r="D38"/>
  <c r="E38" s="1"/>
  <c r="J17" s="1"/>
  <c r="D41"/>
  <c r="E41" s="1"/>
  <c r="D60" i="31" l="1"/>
  <c r="D64" i="32"/>
  <c r="H60" i="31"/>
  <c r="H64" i="32"/>
  <c r="I60" i="31"/>
  <c r="I64" i="32"/>
  <c r="E60" i="31"/>
  <c r="E64" i="32"/>
  <c r="J60" i="31"/>
  <c r="J64" i="32"/>
  <c r="C60" i="31"/>
  <c r="C64" i="32"/>
  <c r="I63" i="31"/>
  <c r="I64"/>
  <c r="I65" s="1"/>
  <c r="C48" i="27"/>
  <c r="C50" s="1"/>
  <c r="C48" i="31"/>
  <c r="C50" s="1"/>
  <c r="C48" i="30"/>
  <c r="C50" s="1"/>
  <c r="D22" i="4"/>
  <c r="D22" i="27"/>
  <c r="D22" i="31"/>
  <c r="D22" i="30"/>
  <c r="C22" i="4"/>
  <c r="C22" i="27"/>
  <c r="C22" i="31"/>
  <c r="C22" i="30"/>
  <c r="E22" i="4"/>
  <c r="E22" i="27"/>
  <c r="E22" i="31"/>
  <c r="E22" i="30"/>
  <c r="K20" i="1"/>
  <c r="K22" s="1"/>
  <c r="K21" s="1"/>
  <c r="G17"/>
  <c r="G20" s="1"/>
  <c r="G22" s="1"/>
  <c r="G21" s="1"/>
  <c r="F20"/>
  <c r="F22" s="1"/>
  <c r="F21" s="1"/>
  <c r="E36"/>
  <c r="H17" s="1"/>
  <c r="C48" i="4"/>
  <c r="E185" i="17"/>
  <c r="F185"/>
  <c r="G185"/>
  <c r="H185"/>
  <c r="I185"/>
  <c r="J185"/>
  <c r="K185"/>
  <c r="L185"/>
  <c r="M185"/>
  <c r="N185"/>
  <c r="O185"/>
  <c r="D185"/>
  <c r="O171"/>
  <c r="N171"/>
  <c r="M171"/>
  <c r="L171"/>
  <c r="K171"/>
  <c r="J171"/>
  <c r="I171"/>
  <c r="H171"/>
  <c r="G171"/>
  <c r="F171"/>
  <c r="E171"/>
  <c r="D171"/>
  <c r="O155"/>
  <c r="N155"/>
  <c r="M155"/>
  <c r="L155"/>
  <c r="K155"/>
  <c r="J155"/>
  <c r="I155"/>
  <c r="H155"/>
  <c r="G155"/>
  <c r="F155"/>
  <c r="E155"/>
  <c r="D155"/>
  <c r="E140"/>
  <c r="F140"/>
  <c r="G140"/>
  <c r="H140"/>
  <c r="I140"/>
  <c r="J140"/>
  <c r="K140"/>
  <c r="L140"/>
  <c r="M140"/>
  <c r="N140"/>
  <c r="O140"/>
  <c r="D125"/>
  <c r="E125"/>
  <c r="F125"/>
  <c r="G125"/>
  <c r="H125"/>
  <c r="I125"/>
  <c r="J125"/>
  <c r="K125"/>
  <c r="L125"/>
  <c r="M125"/>
  <c r="N125"/>
  <c r="O125"/>
  <c r="D140"/>
  <c r="M110"/>
  <c r="N110"/>
  <c r="O110"/>
  <c r="J16" i="21"/>
  <c r="E110" i="17"/>
  <c r="F110"/>
  <c r="G110"/>
  <c r="H110"/>
  <c r="I110"/>
  <c r="J110"/>
  <c r="K110"/>
  <c r="L110"/>
  <c r="D110"/>
  <c r="F60" i="31" l="1"/>
  <c r="F64" i="32"/>
  <c r="K60" i="31"/>
  <c r="K64" s="1"/>
  <c r="K65" s="1"/>
  <c r="K64" i="32"/>
  <c r="G60" i="31"/>
  <c r="G64" i="32"/>
  <c r="C15" i="21"/>
  <c r="C16" s="1"/>
  <c r="C19" s="1"/>
  <c r="G55"/>
  <c r="G56" s="1"/>
  <c r="G59" s="1"/>
  <c r="C7"/>
  <c r="C8" s="1"/>
  <c r="C11" s="1"/>
  <c r="G31"/>
  <c r="G32" s="1"/>
  <c r="G35" s="1"/>
  <c r="G7"/>
  <c r="G8" s="1"/>
  <c r="G11" s="1"/>
  <c r="G47"/>
  <c r="G48" s="1"/>
  <c r="G51" s="1"/>
  <c r="G39"/>
  <c r="G40" s="1"/>
  <c r="G43" s="1"/>
  <c r="G23"/>
  <c r="G24" s="1"/>
  <c r="G27" s="1"/>
  <c r="G114" i="17"/>
  <c r="F14" i="32" s="1"/>
  <c r="N114" i="17"/>
  <c r="K114"/>
  <c r="J14" i="32" s="1"/>
  <c r="L114" i="17"/>
  <c r="K14" i="32" s="1"/>
  <c r="H114" i="17"/>
  <c r="G14" i="32" s="1"/>
  <c r="O114" i="17"/>
  <c r="J114"/>
  <c r="I14" i="32" s="1"/>
  <c r="F114" i="17"/>
  <c r="E14" i="32" s="1"/>
  <c r="M114" i="17"/>
  <c r="D114"/>
  <c r="C14" i="32" s="1"/>
  <c r="I114" i="17"/>
  <c r="H14" i="32" s="1"/>
  <c r="E114" i="17"/>
  <c r="D14" i="32" s="1"/>
  <c r="C47" i="21"/>
  <c r="C48" s="1"/>
  <c r="C51" s="1"/>
  <c r="C39"/>
  <c r="C40" s="1"/>
  <c r="C43" s="1"/>
  <c r="C31"/>
  <c r="C32" s="1"/>
  <c r="C35" s="1"/>
  <c r="C23"/>
  <c r="C24" s="1"/>
  <c r="C27" s="1"/>
  <c r="G15"/>
  <c r="G16" s="1"/>
  <c r="G19" s="1"/>
  <c r="D14" i="4" l="1"/>
  <c r="D14" i="27"/>
  <c r="D14" i="31"/>
  <c r="D14" i="30"/>
  <c r="C14" i="4"/>
  <c r="C14" i="27"/>
  <c r="C14" i="31"/>
  <c r="C14" i="30"/>
  <c r="E14" i="4"/>
  <c r="E14" i="27"/>
  <c r="E14" i="31"/>
  <c r="E14" i="30"/>
  <c r="K14" i="27"/>
  <c r="K14" i="31"/>
  <c r="K14" i="4"/>
  <c r="K14" i="30"/>
  <c r="H14" i="27"/>
  <c r="H14" i="31"/>
  <c r="H14" i="30"/>
  <c r="I14" i="27"/>
  <c r="I14" i="31"/>
  <c r="I14" i="4"/>
  <c r="I14" i="30"/>
  <c r="G14" i="4"/>
  <c r="G14" i="27"/>
  <c r="G14" i="31"/>
  <c r="G14" i="30"/>
  <c r="J14" i="27"/>
  <c r="J14" i="31"/>
  <c r="J14" i="30"/>
  <c r="J14" i="4"/>
  <c r="F14"/>
  <c r="F14" i="27"/>
  <c r="F14" i="31"/>
  <c r="F14" i="30"/>
  <c r="H14" i="4"/>
  <c r="H144" i="17"/>
  <c r="G18" i="32" s="1"/>
  <c r="L144" i="17"/>
  <c r="K18" i="32" s="1"/>
  <c r="D144" i="17"/>
  <c r="G144"/>
  <c r="I144"/>
  <c r="H18" i="32" s="1"/>
  <c r="M144" i="17"/>
  <c r="O144"/>
  <c r="F144"/>
  <c r="E18" i="32" s="1"/>
  <c r="J144" i="17"/>
  <c r="I18" i="32" s="1"/>
  <c r="K144" i="17"/>
  <c r="J18" i="32" s="1"/>
  <c r="J13" i="17"/>
  <c r="I43" i="32" s="1"/>
  <c r="I45" s="1"/>
  <c r="H13" i="17"/>
  <c r="G43" i="32" s="1"/>
  <c r="G45" s="1"/>
  <c r="D13" i="17"/>
  <c r="C43" i="32" s="1"/>
  <c r="C45" s="1"/>
  <c r="J160" i="17"/>
  <c r="I19" i="32" s="1"/>
  <c r="N160" i="17"/>
  <c r="F176"/>
  <c r="E20" i="32" s="1"/>
  <c r="J176" i="17"/>
  <c r="I20" i="32" s="1"/>
  <c r="N176" i="17"/>
  <c r="K160"/>
  <c r="J19" i="32" s="1"/>
  <c r="G176" i="17"/>
  <c r="F20" i="32" s="1"/>
  <c r="K176" i="17"/>
  <c r="J20" i="32" s="1"/>
  <c r="O176" i="17"/>
  <c r="H160"/>
  <c r="G19" i="32" s="1"/>
  <c r="L160" i="17"/>
  <c r="K19" i="32" s="1"/>
  <c r="H176" i="17"/>
  <c r="G20" i="32" s="1"/>
  <c r="L176" i="17"/>
  <c r="K20" i="32" s="1"/>
  <c r="D176" i="17"/>
  <c r="C20" i="32" s="1"/>
  <c r="I160" i="17"/>
  <c r="H19" i="32" s="1"/>
  <c r="M160" i="17"/>
  <c r="E176"/>
  <c r="D20" i="32" s="1"/>
  <c r="I176" i="17"/>
  <c r="H20" i="32" s="1"/>
  <c r="M176" i="17"/>
  <c r="O160"/>
  <c r="N144"/>
  <c r="O196"/>
  <c r="K196"/>
  <c r="M196"/>
  <c r="L196"/>
  <c r="D196"/>
  <c r="I13"/>
  <c r="H43" i="32" s="1"/>
  <c r="H45" s="1"/>
  <c r="I196" i="17"/>
  <c r="N196"/>
  <c r="H196"/>
  <c r="J196"/>
  <c r="F196"/>
  <c r="E196"/>
  <c r="I26" i="32" l="1"/>
  <c r="I62" s="1"/>
  <c r="I67" s="1"/>
  <c r="H26"/>
  <c r="G26"/>
  <c r="J26"/>
  <c r="K26"/>
  <c r="F18"/>
  <c r="C18"/>
  <c r="H62"/>
  <c r="H67" s="1"/>
  <c r="G62"/>
  <c r="G67" s="1"/>
  <c r="H43" i="27"/>
  <c r="H45" s="1"/>
  <c r="H43" i="31"/>
  <c r="H45" s="1"/>
  <c r="H43" i="30"/>
  <c r="H45" s="1"/>
  <c r="D20" i="27"/>
  <c r="D20" i="31"/>
  <c r="D20" i="30"/>
  <c r="H19" i="27"/>
  <c r="H19" i="31"/>
  <c r="H19" i="30"/>
  <c r="K20" i="27"/>
  <c r="K20" i="31"/>
  <c r="K20" i="4"/>
  <c r="K20" i="30"/>
  <c r="K19" i="27"/>
  <c r="K19" i="31"/>
  <c r="K19" i="30"/>
  <c r="K19" i="4"/>
  <c r="F20" i="27"/>
  <c r="F20" i="31"/>
  <c r="F20" i="30"/>
  <c r="E20" i="27"/>
  <c r="E20" i="31"/>
  <c r="E20" i="30"/>
  <c r="I19" i="27"/>
  <c r="I19" i="31"/>
  <c r="I19" i="30"/>
  <c r="I19" i="4"/>
  <c r="G43" i="27"/>
  <c r="G45" s="1"/>
  <c r="G43" i="31"/>
  <c r="G45" s="1"/>
  <c r="G43" i="30"/>
  <c r="G45" s="1"/>
  <c r="J18" i="27"/>
  <c r="J18" i="31"/>
  <c r="J26" s="1"/>
  <c r="J18" i="30"/>
  <c r="J18" i="4"/>
  <c r="E18" i="27"/>
  <c r="E18" i="31"/>
  <c r="E18" i="30"/>
  <c r="K18" i="27"/>
  <c r="K26" s="1"/>
  <c r="K18" i="31"/>
  <c r="K18" i="4"/>
  <c r="K18" i="30"/>
  <c r="K26" i="31"/>
  <c r="H20" i="27"/>
  <c r="H20" i="31"/>
  <c r="H20" i="30"/>
  <c r="C20" i="27"/>
  <c r="C20" i="31"/>
  <c r="C20" i="30"/>
  <c r="G20" i="4"/>
  <c r="G20" i="27"/>
  <c r="G20" i="31"/>
  <c r="G20" i="30"/>
  <c r="G19" i="27"/>
  <c r="G19" i="31"/>
  <c r="G19" i="30"/>
  <c r="J20" i="27"/>
  <c r="J20" i="31"/>
  <c r="J20" i="30"/>
  <c r="J20" i="4"/>
  <c r="J19" i="27"/>
  <c r="J26" s="1"/>
  <c r="J19" i="31"/>
  <c r="J19" i="4"/>
  <c r="J26" s="1"/>
  <c r="J19" i="30"/>
  <c r="I20" i="27"/>
  <c r="I20" i="31"/>
  <c r="I20" i="4"/>
  <c r="I20" i="30"/>
  <c r="C43" i="27"/>
  <c r="C45" s="1"/>
  <c r="C43" i="31"/>
  <c r="C45" s="1"/>
  <c r="C43" i="30"/>
  <c r="C45" s="1"/>
  <c r="I43" i="27"/>
  <c r="I45" s="1"/>
  <c r="I43" i="31"/>
  <c r="I45" s="1"/>
  <c r="I43" i="30"/>
  <c r="I45" s="1"/>
  <c r="I43" i="4"/>
  <c r="I45" s="1"/>
  <c r="I18" i="27"/>
  <c r="I18" i="31"/>
  <c r="I26" s="1"/>
  <c r="I58" s="1"/>
  <c r="I18" i="4"/>
  <c r="I18" i="30"/>
  <c r="I26" s="1"/>
  <c r="H18" i="27"/>
  <c r="H18" i="31"/>
  <c r="H26" s="1"/>
  <c r="H18" i="30"/>
  <c r="C18" i="27"/>
  <c r="F18"/>
  <c r="F18" i="31"/>
  <c r="C18"/>
  <c r="F18" i="30"/>
  <c r="C18"/>
  <c r="G18" i="27"/>
  <c r="G18" i="31"/>
  <c r="G18" i="30"/>
  <c r="G26" s="1"/>
  <c r="G26" i="27"/>
  <c r="H26" i="30"/>
  <c r="K26" i="4"/>
  <c r="F20"/>
  <c r="D20"/>
  <c r="H18"/>
  <c r="G18"/>
  <c r="E18"/>
  <c r="H19"/>
  <c r="E20"/>
  <c r="C18"/>
  <c r="F18"/>
  <c r="H20"/>
  <c r="C20"/>
  <c r="G19"/>
  <c r="E160" i="17"/>
  <c r="D19" i="32" s="1"/>
  <c r="D160" i="17"/>
  <c r="C19" i="32" s="1"/>
  <c r="G160" i="17"/>
  <c r="F19" i="32" s="1"/>
  <c r="H43" i="4"/>
  <c r="C43"/>
  <c r="G43"/>
  <c r="F160" i="17"/>
  <c r="E19" i="32" s="1"/>
  <c r="E26" s="1"/>
  <c r="K236" i="17"/>
  <c r="L13"/>
  <c r="K43" i="32" s="1"/>
  <c r="K45" s="1"/>
  <c r="K62" s="1"/>
  <c r="K67" s="1"/>
  <c r="O13" i="17"/>
  <c r="M13"/>
  <c r="K13"/>
  <c r="J43" i="32" s="1"/>
  <c r="J45" s="1"/>
  <c r="J62" s="1"/>
  <c r="J67" s="1"/>
  <c r="F13" i="17"/>
  <c r="E43" i="32" s="1"/>
  <c r="E45" s="1"/>
  <c r="E13" i="17"/>
  <c r="D43" i="32" s="1"/>
  <c r="D45" s="1"/>
  <c r="M236" i="17"/>
  <c r="N13"/>
  <c r="G13"/>
  <c r="F43" i="32" s="1"/>
  <c r="F45" s="1"/>
  <c r="E30" i="4"/>
  <c r="G30"/>
  <c r="H30"/>
  <c r="C30"/>
  <c r="D30"/>
  <c r="F30"/>
  <c r="E236" i="17"/>
  <c r="F33" i="4"/>
  <c r="H32"/>
  <c r="L236" i="17"/>
  <c r="H236"/>
  <c r="H33" i="4"/>
  <c r="D38"/>
  <c r="I236" i="17"/>
  <c r="C33" i="4"/>
  <c r="F236" i="17"/>
  <c r="E33" i="4"/>
  <c r="G33"/>
  <c r="G236" i="17"/>
  <c r="D33" i="4"/>
  <c r="E38"/>
  <c r="C38"/>
  <c r="J236" i="17"/>
  <c r="D236"/>
  <c r="G38" i="4"/>
  <c r="H38"/>
  <c r="F38"/>
  <c r="N236" i="17"/>
  <c r="O236"/>
  <c r="E144"/>
  <c r="D18" i="32" s="1"/>
  <c r="D26" s="1"/>
  <c r="J70" l="1"/>
  <c r="J69"/>
  <c r="H70"/>
  <c r="H69"/>
  <c r="K69"/>
  <c r="K70"/>
  <c r="G70"/>
  <c r="G69"/>
  <c r="I70"/>
  <c r="I69"/>
  <c r="E62"/>
  <c r="E67" s="1"/>
  <c r="C26"/>
  <c r="C62" s="1"/>
  <c r="D62"/>
  <c r="D67" s="1"/>
  <c r="I58" i="30"/>
  <c r="I62" s="1"/>
  <c r="I67" s="1"/>
  <c r="K26"/>
  <c r="F26" i="32"/>
  <c r="F62" s="1"/>
  <c r="F67" s="1"/>
  <c r="H26" i="27"/>
  <c r="H58" s="1"/>
  <c r="I62" i="31"/>
  <c r="I67" s="1"/>
  <c r="G26"/>
  <c r="G58" s="1"/>
  <c r="I26" i="4"/>
  <c r="I58" s="1"/>
  <c r="I26" i="27"/>
  <c r="I58" s="1"/>
  <c r="J26" i="30"/>
  <c r="E43" i="27"/>
  <c r="E45" s="1"/>
  <c r="E43" i="31"/>
  <c r="E45" s="1"/>
  <c r="E43" i="30"/>
  <c r="E45" s="1"/>
  <c r="F19" i="4"/>
  <c r="F19" i="27"/>
  <c r="F26" s="1"/>
  <c r="F19" i="31"/>
  <c r="F26" s="1"/>
  <c r="F19" i="30"/>
  <c r="F26" s="1"/>
  <c r="G58"/>
  <c r="G58" i="27"/>
  <c r="H58" i="31"/>
  <c r="D18" i="27"/>
  <c r="D18" i="31"/>
  <c r="D18" i="30"/>
  <c r="F43" i="27"/>
  <c r="F45" s="1"/>
  <c r="F43" i="31"/>
  <c r="F45" s="1"/>
  <c r="F43" i="30"/>
  <c r="F45" s="1"/>
  <c r="K43" i="27"/>
  <c r="K45" s="1"/>
  <c r="K58" s="1"/>
  <c r="K43" i="31"/>
  <c r="K45" s="1"/>
  <c r="K58" s="1"/>
  <c r="K43" i="30"/>
  <c r="K45" s="1"/>
  <c r="K58" s="1"/>
  <c r="K43" i="4"/>
  <c r="K45" s="1"/>
  <c r="K58" s="1"/>
  <c r="E19" i="27"/>
  <c r="E26" s="1"/>
  <c r="E19" i="31"/>
  <c r="E26" s="1"/>
  <c r="E19" i="30"/>
  <c r="E26" s="1"/>
  <c r="D19" i="27"/>
  <c r="D19" i="31"/>
  <c r="D19" i="30"/>
  <c r="D43" i="27"/>
  <c r="D45" s="1"/>
  <c r="D43" i="31"/>
  <c r="D45" s="1"/>
  <c r="D43" i="30"/>
  <c r="D45" s="1"/>
  <c r="J43" i="27"/>
  <c r="J45" s="1"/>
  <c r="J58" s="1"/>
  <c r="J43" i="31"/>
  <c r="J45" s="1"/>
  <c r="J58" s="1"/>
  <c r="J43" i="4"/>
  <c r="J45" s="1"/>
  <c r="J58" s="1"/>
  <c r="J43" i="30"/>
  <c r="J45" s="1"/>
  <c r="C19" i="27"/>
  <c r="C26" s="1"/>
  <c r="C58" s="1"/>
  <c r="C19" i="31"/>
  <c r="C26" s="1"/>
  <c r="C19" i="30"/>
  <c r="C26" s="1"/>
  <c r="C58" s="1"/>
  <c r="C58" i="31"/>
  <c r="H58" i="30"/>
  <c r="D19" i="4"/>
  <c r="D18"/>
  <c r="E19"/>
  <c r="C19"/>
  <c r="F26"/>
  <c r="D43"/>
  <c r="F43"/>
  <c r="E43"/>
  <c r="C60"/>
  <c r="G60"/>
  <c r="F60"/>
  <c r="E40"/>
  <c r="C40"/>
  <c r="G26"/>
  <c r="H26"/>
  <c r="D50"/>
  <c r="E50"/>
  <c r="F50"/>
  <c r="G50"/>
  <c r="H50"/>
  <c r="C50"/>
  <c r="G40"/>
  <c r="H40"/>
  <c r="F40"/>
  <c r="D40"/>
  <c r="F70" i="32" l="1"/>
  <c r="F69"/>
  <c r="D70"/>
  <c r="D69"/>
  <c r="E70"/>
  <c r="E69"/>
  <c r="C68"/>
  <c r="C69"/>
  <c r="C70" s="1"/>
  <c r="C67"/>
  <c r="F58" i="27"/>
  <c r="C64" i="30"/>
  <c r="C65" s="1"/>
  <c r="C62"/>
  <c r="C63"/>
  <c r="G64"/>
  <c r="G65" s="1"/>
  <c r="G62"/>
  <c r="G63"/>
  <c r="H63"/>
  <c r="H64"/>
  <c r="H65" s="1"/>
  <c r="H62"/>
  <c r="K62"/>
  <c r="K63"/>
  <c r="J58"/>
  <c r="I62" i="27"/>
  <c r="I67" s="1"/>
  <c r="K62"/>
  <c r="K63"/>
  <c r="G64"/>
  <c r="G65" s="1"/>
  <c r="G62"/>
  <c r="G63"/>
  <c r="H63"/>
  <c r="H64"/>
  <c r="H65" s="1"/>
  <c r="H62"/>
  <c r="C64"/>
  <c r="C65" s="1"/>
  <c r="C62"/>
  <c r="C63"/>
  <c r="J63"/>
  <c r="J64"/>
  <c r="J65" s="1"/>
  <c r="J62"/>
  <c r="F63"/>
  <c r="F64"/>
  <c r="F65" s="1"/>
  <c r="F62"/>
  <c r="I62" i="4"/>
  <c r="I67" s="1"/>
  <c r="C63" i="31"/>
  <c r="C62"/>
  <c r="C64"/>
  <c r="C65" s="1"/>
  <c r="J64"/>
  <c r="J65" s="1"/>
  <c r="J62"/>
  <c r="J63"/>
  <c r="G63"/>
  <c r="G62"/>
  <c r="G64"/>
  <c r="G65" s="1"/>
  <c r="J63" i="4"/>
  <c r="J64"/>
  <c r="J65" s="1"/>
  <c r="J62"/>
  <c r="J67" s="1"/>
  <c r="K62"/>
  <c r="K63"/>
  <c r="K63" i="31"/>
  <c r="K62"/>
  <c r="K67" s="1"/>
  <c r="H64"/>
  <c r="H65" s="1"/>
  <c r="H62"/>
  <c r="H67" s="1"/>
  <c r="H63"/>
  <c r="F58" i="30"/>
  <c r="D26" i="31"/>
  <c r="D58" s="1"/>
  <c r="E58"/>
  <c r="F58"/>
  <c r="D26" i="30"/>
  <c r="D58" s="1"/>
  <c r="D26" i="27"/>
  <c r="D58" s="1"/>
  <c r="E58" i="30"/>
  <c r="E58" i="27"/>
  <c r="E45" i="4"/>
  <c r="D60"/>
  <c r="E60"/>
  <c r="C26"/>
  <c r="E26"/>
  <c r="D26"/>
  <c r="G45"/>
  <c r="G58" s="1"/>
  <c r="D45"/>
  <c r="D58" s="1"/>
  <c r="H45"/>
  <c r="H58" s="1"/>
  <c r="F45"/>
  <c r="F58" s="1"/>
  <c r="C45"/>
  <c r="C58" s="1"/>
  <c r="D72" i="32" l="1"/>
  <c r="E58" i="4"/>
  <c r="E72" i="32"/>
  <c r="G72"/>
  <c r="C72"/>
  <c r="F72"/>
  <c r="J67" i="31"/>
  <c r="K67" i="30"/>
  <c r="C67"/>
  <c r="K67" i="4"/>
  <c r="J63" i="30"/>
  <c r="J64"/>
  <c r="J65" s="1"/>
  <c r="J62"/>
  <c r="E64"/>
  <c r="E65" s="1"/>
  <c r="E62"/>
  <c r="E63"/>
  <c r="D63"/>
  <c r="D64"/>
  <c r="D65" s="1"/>
  <c r="D62"/>
  <c r="F63"/>
  <c r="F64"/>
  <c r="F65" s="1"/>
  <c r="F62"/>
  <c r="J67" i="27"/>
  <c r="C67"/>
  <c r="H67"/>
  <c r="G67"/>
  <c r="H67" i="30"/>
  <c r="G67"/>
  <c r="F67" i="27"/>
  <c r="K67"/>
  <c r="D63"/>
  <c r="D64"/>
  <c r="D65" s="1"/>
  <c r="D62"/>
  <c r="E64"/>
  <c r="E65" s="1"/>
  <c r="E62"/>
  <c r="E63"/>
  <c r="C64" i="4"/>
  <c r="C65" s="1"/>
  <c r="C62"/>
  <c r="C63"/>
  <c r="G64"/>
  <c r="G65" s="1"/>
  <c r="G62"/>
  <c r="G63"/>
  <c r="F63"/>
  <c r="F64"/>
  <c r="F65" s="1"/>
  <c r="F62"/>
  <c r="D63"/>
  <c r="D64"/>
  <c r="D65" s="1"/>
  <c r="D62"/>
  <c r="F64" i="31"/>
  <c r="F65" s="1"/>
  <c r="F62"/>
  <c r="F63"/>
  <c r="E63"/>
  <c r="E62"/>
  <c r="E67" s="1"/>
  <c r="E64"/>
  <c r="E65" s="1"/>
  <c r="C67"/>
  <c r="E64" i="4"/>
  <c r="E65" s="1"/>
  <c r="E62"/>
  <c r="E63"/>
  <c r="E67" s="1"/>
  <c r="D63" i="31"/>
  <c r="D62"/>
  <c r="D64"/>
  <c r="D65" s="1"/>
  <c r="G67"/>
  <c r="H60" i="4"/>
  <c r="H63" s="1"/>
  <c r="F67" i="31" l="1"/>
  <c r="D67" i="4"/>
  <c r="C67"/>
  <c r="H72" i="32"/>
  <c r="D67" i="31"/>
  <c r="F67" i="4"/>
  <c r="G67"/>
  <c r="E67" i="27"/>
  <c r="D67"/>
  <c r="D67" i="30"/>
  <c r="E67"/>
  <c r="J67"/>
  <c r="F67"/>
  <c r="H62" i="4"/>
  <c r="H64"/>
  <c r="H65" s="1"/>
  <c r="I72" i="32" l="1"/>
  <c r="H67" i="4"/>
  <c r="J72" i="32" l="1"/>
  <c r="K72"/>
</calcChain>
</file>

<file path=xl/sharedStrings.xml><?xml version="1.0" encoding="utf-8"?>
<sst xmlns="http://schemas.openxmlformats.org/spreadsheetml/2006/main" count="1461" uniqueCount="453">
  <si>
    <t>2"</t>
  </si>
  <si>
    <t>3"</t>
  </si>
  <si>
    <t>4"</t>
  </si>
  <si>
    <t>6"</t>
  </si>
  <si>
    <t>8"</t>
  </si>
  <si>
    <t>10"</t>
  </si>
  <si>
    <t>12"</t>
  </si>
  <si>
    <t>14"</t>
  </si>
  <si>
    <t>16"</t>
  </si>
  <si>
    <t>HOP TAP</t>
  </si>
  <si>
    <t>SERVICIO DE PERFORACION</t>
  </si>
  <si>
    <t>VIATICOS</t>
  </si>
  <si>
    <t>SUBTOTAL</t>
  </si>
  <si>
    <t>COLD TAP</t>
  </si>
  <si>
    <t>DESGASIFICADO - PERDIDA DE GAS</t>
  </si>
  <si>
    <t>CORTE Y BISELADO</t>
  </si>
  <si>
    <t>DIAMETRO</t>
  </si>
  <si>
    <t>Costo US para 24 km**</t>
  </si>
  <si>
    <t>u$ por Km</t>
  </si>
  <si>
    <t>m3 por Km</t>
  </si>
  <si>
    <t>Presion (psig)</t>
  </si>
  <si>
    <t>Distan entre valvulas</t>
  </si>
  <si>
    <t>f Reduccion de volumen</t>
  </si>
  <si>
    <t>Costo por M3</t>
  </si>
  <si>
    <t>*Se asume que existen valvulas de corte cada 24 Km</t>
  </si>
  <si>
    <t xml:space="preserve">COSTO DE GAS PERDIDA EN DISTRIBUCION </t>
  </si>
  <si>
    <t xml:space="preserve">F. Reduccion de Volumen </t>
  </si>
  <si>
    <t>Distancia entre Valvulas</t>
  </si>
  <si>
    <t xml:space="preserve">Presion </t>
  </si>
  <si>
    <t>U$ por Km</t>
  </si>
  <si>
    <t>* Se asume que existen valvulas de corte cada 8 Km</t>
  </si>
  <si>
    <t>DESCRIPCION</t>
  </si>
  <si>
    <t>ACTIVIDADES DE LOGISTICA Y GENERALES</t>
  </si>
  <si>
    <t>INGENIERIA</t>
  </si>
  <si>
    <t>DISEÑO PRELIMINAR</t>
  </si>
  <si>
    <t>CALCULOS ESPESOR DE PARED</t>
  </si>
  <si>
    <t>ANALISIS HIDRAULICO</t>
  </si>
  <si>
    <t>PLANOS</t>
  </si>
  <si>
    <t>ESPECIFICACIONES DE MONTAJE</t>
  </si>
  <si>
    <t>TRANSPORTE</t>
  </si>
  <si>
    <t xml:space="preserve">LOGISTICA DE IMPORTACION </t>
  </si>
  <si>
    <t xml:space="preserve">ARANCEL E INTERMEDIACION ADUANERA </t>
  </si>
  <si>
    <t>DOCUMENTOS</t>
  </si>
  <si>
    <t xml:space="preserve">SUBTOTAL </t>
  </si>
  <si>
    <t>PRUEBAS</t>
  </si>
  <si>
    <t>A.T.S. ANALISIS DE TRABAJO SEGURO</t>
  </si>
  <si>
    <t>DUREAZA, ESPESOR TUBERIA EXISTENTE</t>
  </si>
  <si>
    <t>HIDROSTATICAS</t>
  </si>
  <si>
    <t>NEUMATICA (NITROGENO)</t>
  </si>
  <si>
    <t>RAYOS X</t>
  </si>
  <si>
    <t xml:space="preserve">ULTRASONIDO </t>
  </si>
  <si>
    <t>PARTICULAS MAGNETICAS Y TINTAS PENETRANTES</t>
  </si>
  <si>
    <t xml:space="preserve">ESPESOR DE REVESTIMIENTO </t>
  </si>
  <si>
    <t>CALIFICACION DEL SOLDADOR Y DEL PROCEDIMIENTO DE LA SOLDADURA</t>
  </si>
  <si>
    <t>MANO DE OBRA</t>
  </si>
  <si>
    <t>ACTIVIDADES FINALES</t>
  </si>
  <si>
    <t>REPARACION DE REVESTIMIENTO EXISTENTE</t>
  </si>
  <si>
    <t>MATERIALES</t>
  </si>
  <si>
    <t>WELDOLET</t>
  </si>
  <si>
    <t>HOT TAP</t>
  </si>
  <si>
    <t>SPLIT TEE</t>
  </si>
  <si>
    <t>BARRAS GUIA</t>
  </si>
  <si>
    <t>DESCIPCION</t>
  </si>
  <si>
    <t>DOCUMENTACION</t>
  </si>
  <si>
    <t>ESPECIFICACIONES DE COMPRA DE MATERIALES</t>
  </si>
  <si>
    <t>VERIFICACION DE ESPESORES DE TUBERIA</t>
  </si>
  <si>
    <t xml:space="preserve">A.T.S. ANALISIS DE TRABAJO SEGURO </t>
  </si>
  <si>
    <t>DUREZA, ESPESOR TUBERIA EXISTENTE</t>
  </si>
  <si>
    <t>NEUMATICAS (NITROGENO)</t>
  </si>
  <si>
    <t xml:space="preserve">ESPESORES DE REVESTIMIENTOS </t>
  </si>
  <si>
    <t xml:space="preserve">CALIFICACION DE SOLDADOR Y DE PROCEDIMIENTO DE SOLDADURA </t>
  </si>
  <si>
    <t xml:space="preserve">SOLDADURA EN SITIO </t>
  </si>
  <si>
    <t xml:space="preserve">PREFABRICACION POR TERMOFUSION </t>
  </si>
  <si>
    <t xml:space="preserve">PEGA EN SITIO POR ELECTROFUSION </t>
  </si>
  <si>
    <t xml:space="preserve">ALQUILER EQUIPO </t>
  </si>
  <si>
    <t>OTROS</t>
  </si>
  <si>
    <t>LOGISTICA</t>
  </si>
  <si>
    <t>VISITAS</t>
  </si>
  <si>
    <t>PERMISOS Y LICENCIAS</t>
  </si>
  <si>
    <t>DESCAPOTE</t>
  </si>
  <si>
    <t>FILTROS</t>
  </si>
  <si>
    <t>OBRAS DE PROTECCION</t>
  </si>
  <si>
    <t>RELLENO COMPACTADO - TIPO B</t>
  </si>
  <si>
    <t>RELLENO COMPACTADO - TIPO A</t>
  </si>
  <si>
    <t>CONCRETO 3000 PSI - ESTRUCTURAL PLACAS, MUROS Y PISOS</t>
  </si>
  <si>
    <t>CONCRETOS 3000 PSI - COLUMNAS Y VIGAS DE CONFINAMIENTO</t>
  </si>
  <si>
    <t>CONCRETO 3000 PSI - ANDENES</t>
  </si>
  <si>
    <t xml:space="preserve">CONCRETO DE LIMPIEZA 1500 PSI </t>
  </si>
  <si>
    <t>CONCRETO DE SOPORTE  VALVULAS</t>
  </si>
  <si>
    <t>ACERO DE REFUERZO</t>
  </si>
  <si>
    <t xml:space="preserve">SUMINISTRO E INSTALACIONES TAPA EN LAMINA  ALFAJOR </t>
  </si>
  <si>
    <t>SUMINISTRO E INSTALACIONES VENTEO EN TUBERIA METALICA</t>
  </si>
  <si>
    <t>SELLO PARA MURO  TUBERIA PRINCIPAL Y TUBERIA DE DERIVACION</t>
  </si>
  <si>
    <t xml:space="preserve">RECOMPOSICION DE TERRENO </t>
  </si>
  <si>
    <t>FUENTE DE INFORMACION</t>
  </si>
  <si>
    <t>REV 00</t>
  </si>
  <si>
    <t>Costo por M3*</t>
  </si>
  <si>
    <r>
      <rPr>
        <sz val="11"/>
        <color theme="0"/>
        <rFont val="Bauhaus 93"/>
        <family val="5"/>
      </rPr>
      <t>ESFERA INGENIERIA LTDA</t>
    </r>
    <r>
      <rPr>
        <sz val="11"/>
        <color theme="1"/>
        <rFont val="Calibri"/>
        <family val="2"/>
        <scheme val="minor"/>
      </rPr>
      <t xml:space="preserve"> 
</t>
    </r>
    <r>
      <rPr>
        <b/>
        <sz val="11"/>
        <color rgb="FF002060"/>
        <rFont val="Calibri"/>
        <family val="2"/>
        <scheme val="minor"/>
      </rPr>
      <t>ING CHARLIE PRADO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rgb="FF002060"/>
        <rFont val="Calibri"/>
        <family val="2"/>
        <scheme val="minor"/>
      </rPr>
      <t>Asesoria en Ingenieria Electromecanica</t>
    </r>
  </si>
  <si>
    <r>
      <rPr>
        <sz val="11"/>
        <color theme="0"/>
        <rFont val="Bauhaus 93"/>
        <family val="5"/>
      </rPr>
      <t>ESFERA INGENIERIA LTDA</t>
    </r>
    <r>
      <rPr>
        <sz val="11"/>
        <color theme="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rgb="FF002060"/>
        <rFont val="Calibri"/>
        <family val="2"/>
        <scheme val="minor"/>
      </rPr>
      <t>ING CHARLIE PRADO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rgb="FF002060"/>
        <rFont val="Calibri"/>
        <family val="2"/>
        <scheme val="minor"/>
      </rPr>
      <t>Asesoria en Ingenieria
 Electromecanica</t>
    </r>
  </si>
  <si>
    <t>SUB TOTAL</t>
  </si>
  <si>
    <t>HERRAMIENTAS</t>
  </si>
  <si>
    <t>Ingeniero de  Campo</t>
  </si>
  <si>
    <t>Inspector de Calidad</t>
  </si>
  <si>
    <t>Oficial Tubero</t>
  </si>
  <si>
    <t>Operario Tapinadora</t>
  </si>
  <si>
    <t>Carga Prestacional</t>
  </si>
  <si>
    <t>Total Mano de Obra Mes</t>
  </si>
  <si>
    <t># horas trabajadas /mes</t>
  </si>
  <si>
    <t>salario Ingeniero esp diseño</t>
  </si>
  <si>
    <t>Salud</t>
  </si>
  <si>
    <t>ARL</t>
  </si>
  <si>
    <t>Primas</t>
  </si>
  <si>
    <t>Cesantias</t>
  </si>
  <si>
    <t>Cajas de comp.</t>
  </si>
  <si>
    <t>Sena</t>
  </si>
  <si>
    <t>ICBF</t>
  </si>
  <si>
    <t>Vacaciones</t>
  </si>
  <si>
    <t>Int/ Cesantias</t>
  </si>
  <si>
    <t xml:space="preserve">1. </t>
  </si>
  <si>
    <t>2.</t>
  </si>
  <si>
    <t>3.</t>
  </si>
  <si>
    <t>INGENIERO DE DISEÑO</t>
  </si>
  <si>
    <t>INGENIERO DE CAMPO</t>
  </si>
  <si>
    <t>INSPECTOR DE CALIDAD</t>
  </si>
  <si>
    <t>6.</t>
  </si>
  <si>
    <t>salario Sobrestante Construccion</t>
  </si>
  <si>
    <t>OFICIAL TUBERO</t>
  </si>
  <si>
    <t>7.</t>
  </si>
  <si>
    <t>8.</t>
  </si>
  <si>
    <t>9.</t>
  </si>
  <si>
    <t>AYUDANTE DE SOLDADURA</t>
  </si>
  <si>
    <t>S.I.SO (TECNICO SEG. INDUSTRIAL)</t>
  </si>
  <si>
    <t>Soldador Calificado</t>
  </si>
  <si>
    <t>Ayudante de Soldadura</t>
  </si>
  <si>
    <t>Total. Vr H.H - Ingeniero diseño</t>
  </si>
  <si>
    <t>Total Vr H.H - Ingeniero Campo</t>
  </si>
  <si>
    <t>Total Vr H.H - Inspector Calidad</t>
  </si>
  <si>
    <t>Total Vr H.H - Sobrestante de const.</t>
  </si>
  <si>
    <t>CONDUCTOR</t>
  </si>
  <si>
    <t>Tecnico seg. Industrial</t>
  </si>
  <si>
    <t xml:space="preserve">Carga Prestacional </t>
  </si>
  <si>
    <t>4.</t>
  </si>
  <si>
    <t>5.</t>
  </si>
  <si>
    <t>10.</t>
  </si>
  <si>
    <t>Pension</t>
  </si>
  <si>
    <t>Sub Total carga prestacional</t>
  </si>
  <si>
    <t>Conductor</t>
  </si>
  <si>
    <t>Total Vr H-H - Oficial Tubero</t>
  </si>
  <si>
    <t>Total Vr H-H-Soldador Calificado</t>
  </si>
  <si>
    <t>Total Vr H-H -Ayudante de Soldadura</t>
  </si>
  <si>
    <t>Total Vr H-H- S.I.S.O (Tecnico Seguridad)</t>
  </si>
  <si>
    <t>Total Vr H-H Operario Tapinadora</t>
  </si>
  <si>
    <t>Total Vr H-h-Conductor</t>
  </si>
  <si>
    <t>11.</t>
  </si>
  <si>
    <t>Total Vr H-H-Dibujante</t>
  </si>
  <si>
    <t>Ingeniero de diseño</t>
  </si>
  <si>
    <t>Dibujante</t>
  </si>
  <si>
    <t>Papeleria</t>
  </si>
  <si>
    <t>Computador</t>
  </si>
  <si>
    <t>Impresora</t>
  </si>
  <si>
    <t>valor compra impresora $830,000 depreciable a 6 meses, incluye insumos de tinta</t>
  </si>
  <si>
    <t>Software</t>
  </si>
  <si>
    <t>valor de compra software depreciado a 1 año $5.000.000</t>
  </si>
  <si>
    <t>Se considera una ocupacion de un dia laboral de 9,5 h en todos los casos</t>
  </si>
  <si>
    <t>Subtotal Calculo Espesor de Pared</t>
  </si>
  <si>
    <t>CALCULO ESPESOR DE PARED</t>
  </si>
  <si>
    <t>Se considera una ocupacion de cinco dias laborales de 9,5 h en todos los casos</t>
  </si>
  <si>
    <t>Subtotal Analisis Hidraulico</t>
  </si>
  <si>
    <t>18"</t>
  </si>
  <si>
    <t>20"</t>
  </si>
  <si>
    <t>24"</t>
  </si>
  <si>
    <t>Subtotal  Planos</t>
  </si>
  <si>
    <t>Asistente de ingenieria</t>
  </si>
  <si>
    <t>Subtotal Espec. Compra materiales</t>
  </si>
  <si>
    <t>Subtotal  espec. De montaje</t>
  </si>
  <si>
    <t>DIBUJANTE Y/O ASISTENTE</t>
  </si>
  <si>
    <t>12.</t>
  </si>
  <si>
    <t>Subtotal  logistica de importacion</t>
  </si>
  <si>
    <t>PREFABRICACION</t>
  </si>
  <si>
    <t>TUBERO</t>
  </si>
  <si>
    <t>AYUDANTE</t>
  </si>
  <si>
    <t>MANO DE OBRA EN SITIO</t>
  </si>
  <si>
    <t xml:space="preserve">WELDING NECK </t>
  </si>
  <si>
    <t>EMPAQUE ESPIROMETALICO</t>
  </si>
  <si>
    <t>TEE PARTIDA SPLIT TEE</t>
  </si>
  <si>
    <r>
      <rPr>
        <sz val="10"/>
        <color theme="0"/>
        <rFont val="Bauhaus 93"/>
        <family val="5"/>
      </rPr>
      <t>ESFERA INGENIERIA LTDA</t>
    </r>
    <r>
      <rPr>
        <sz val="10"/>
        <color theme="1"/>
        <rFont val="Calibri"/>
        <family val="2"/>
        <scheme val="minor"/>
      </rPr>
      <t xml:space="preserve"> 
</t>
    </r>
    <r>
      <rPr>
        <b/>
        <sz val="10"/>
        <color rgb="FF002060"/>
        <rFont val="Calibri"/>
        <family val="2"/>
        <scheme val="minor"/>
      </rPr>
      <t>ING CHARLIE PRADO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2060"/>
        <rFont val="Calibri"/>
        <family val="2"/>
        <scheme val="minor"/>
      </rPr>
      <t>Asesoria en Ingenieria Electromecanica</t>
    </r>
  </si>
  <si>
    <t>N/A</t>
  </si>
  <si>
    <t xml:space="preserve">REVISION DE COSTOS RESOLUCION 
169-2011 CREG 
</t>
  </si>
  <si>
    <t>Composicion de Analisis de Costo Unitario</t>
  </si>
  <si>
    <t>DOCUM 03-APU-2014</t>
  </si>
  <si>
    <t xml:space="preserve">REVISION DE COSTOS RESOLUCION 
169-2011 CREG </t>
  </si>
  <si>
    <t>DOCUM 02-HH-2014</t>
  </si>
  <si>
    <t>DETALLE H-H MANO DE OBRA</t>
  </si>
  <si>
    <t>EJECUCION DE LA DERIVACION</t>
  </si>
  <si>
    <t>DOCUM 05-ED-2014</t>
  </si>
  <si>
    <t>Tomado de documento Itansuca, afectado por formula CREG</t>
  </si>
  <si>
    <t>UCDEC/10</t>
  </si>
  <si>
    <t>IPPm</t>
  </si>
  <si>
    <t>% de IPC (% de ponderacion)</t>
  </si>
  <si>
    <t>% IPP (% de Ponderacion)</t>
  </si>
  <si>
    <t>IPPm (Indice de precios al productos DANE)</t>
  </si>
  <si>
    <t>Ucm=</t>
  </si>
  <si>
    <t>% de IPC x</t>
  </si>
  <si>
    <t xml:space="preserve"> + %IPP x</t>
  </si>
  <si>
    <r>
      <t>IPC</t>
    </r>
    <r>
      <rPr>
        <sz val="8"/>
        <color theme="1"/>
        <rFont val="Calibri"/>
        <family val="2"/>
        <scheme val="minor"/>
      </rPr>
      <t xml:space="preserve"> m</t>
    </r>
  </si>
  <si>
    <r>
      <t>IPC</t>
    </r>
    <r>
      <rPr>
        <sz val="8"/>
        <color theme="1"/>
        <rFont val="Calibri"/>
        <family val="2"/>
        <scheme val="minor"/>
      </rPr>
      <t>m</t>
    </r>
  </si>
  <si>
    <t>IPC/04</t>
  </si>
  <si>
    <t>IPP /04</t>
  </si>
  <si>
    <t>Formula</t>
  </si>
  <si>
    <t>Tasa de cambio octubre 2014</t>
  </si>
  <si>
    <t>factor material en costo total Split tee</t>
  </si>
  <si>
    <t>Tomado de cotizacion HMF (oct 29-2014)</t>
  </si>
  <si>
    <t>MANTENIMIENTO</t>
  </si>
  <si>
    <t>COMBUSTIBLE</t>
  </si>
  <si>
    <t>ADMINISTRACION</t>
  </si>
  <si>
    <t>Subtotal  Transporte</t>
  </si>
  <si>
    <t>Subtotal  Materiales</t>
  </si>
  <si>
    <t>APLICACIÓN DE FORMULA CREG PARA ACTUALIZAR COSTOS</t>
  </si>
  <si>
    <t>Subtotal  Actividades finales</t>
  </si>
  <si>
    <r>
      <t>UC</t>
    </r>
    <r>
      <rPr>
        <sz val="8"/>
        <color theme="1"/>
        <rFont val="Calibri"/>
        <family val="2"/>
        <scheme val="minor"/>
      </rPr>
      <t>DEC04</t>
    </r>
    <r>
      <rPr>
        <sz val="11"/>
        <color theme="1"/>
        <rFont val="Calibri"/>
        <family val="2"/>
        <scheme val="minor"/>
      </rPr>
      <t xml:space="preserve"> ( Valor a 2004 )</t>
    </r>
  </si>
  <si>
    <t>U$/m3</t>
  </si>
  <si>
    <t>Veces</t>
  </si>
  <si>
    <t>Km</t>
  </si>
  <si>
    <t>PSIG</t>
  </si>
  <si>
    <t>COSTO DE GAS PERDIDO EN TRANSPORTE</t>
  </si>
  <si>
    <t xml:space="preserve">Volumen promedio </t>
  </si>
  <si>
    <t>m3</t>
  </si>
  <si>
    <t>Costo transporte (Oct 2014)</t>
  </si>
  <si>
    <t>Pesos</t>
  </si>
  <si>
    <t>Pesos/dólar</t>
  </si>
  <si>
    <t>Costo Us para    8 Km</t>
  </si>
  <si>
    <t>pesos</t>
  </si>
  <si>
    <t>Costo distribucion (Oct 2014)</t>
  </si>
  <si>
    <t>BARRAS GUIAS (MENOR)</t>
  </si>
  <si>
    <t>BARRAS GUIAS (MAYOR)</t>
  </si>
  <si>
    <t xml:space="preserve">VERIFICACION DE ESPESOR DE TUBERIA </t>
  </si>
  <si>
    <t>BARRA GUIA</t>
  </si>
  <si>
    <t>ACCESORIOS DE DERIVACION POLIETILENO</t>
  </si>
  <si>
    <t>ARANCEL E INTERMEDIACION ADUANERA  (TABLA 12)</t>
  </si>
  <si>
    <t>ACTUADOR NEUMATICO (TABLA 12)</t>
  </si>
  <si>
    <t>CONEXIÓN Y CALIBRACION DE ACTUADOR (TABLA 12)</t>
  </si>
  <si>
    <t>SOLDADOR API</t>
  </si>
  <si>
    <t>SUPERVISOR</t>
  </si>
  <si>
    <t>SOLDADOR  API CALIFICADO</t>
  </si>
  <si>
    <t>OPERARIO EQUIPO PESADO</t>
  </si>
  <si>
    <t>CAMIONETA  4 X 4</t>
  </si>
  <si>
    <t>CAMION 350</t>
  </si>
  <si>
    <t>Se consideran varios rangos de horas para cada diametro, dos ayudantes por dia</t>
  </si>
  <si>
    <t>Duracion trabajos promedio (DTP =2 dias)</t>
  </si>
  <si>
    <t>DTP=3 dias</t>
  </si>
  <si>
    <t>DTP=4 dias</t>
  </si>
  <si>
    <t>DTP=5 dias</t>
  </si>
  <si>
    <t>OTROS GASTOS</t>
  </si>
  <si>
    <t>LIMPIEZA EN OBRA</t>
  </si>
  <si>
    <t>PINTURA EN OBRA</t>
  </si>
  <si>
    <t>STINGER</t>
  </si>
  <si>
    <t>SOLDADORA</t>
  </si>
  <si>
    <t>PLANTA ELECTRICA</t>
  </si>
  <si>
    <t>PULIDORA</t>
  </si>
  <si>
    <t>HERRAMIENTAS MENORES Y DE MANO</t>
  </si>
  <si>
    <t>EQUIPO DE PERFORACION</t>
  </si>
  <si>
    <t>TARIFA DIARIA EQUIPO</t>
  </si>
  <si>
    <t>T-110</t>
  </si>
  <si>
    <t>T-360</t>
  </si>
  <si>
    <t>T-660</t>
  </si>
  <si>
    <t>T-1200</t>
  </si>
  <si>
    <t>T-1201</t>
  </si>
  <si>
    <t>EQUIPO PERFORACION A UTILIZAR</t>
  </si>
  <si>
    <t xml:space="preserve">IMPREVISTOS </t>
  </si>
  <si>
    <t xml:space="preserve">UTILIDAD </t>
  </si>
  <si>
    <t>PLANEACION DE PROYECTOS</t>
  </si>
  <si>
    <t>PLANEACION DE PROYECYOS</t>
  </si>
  <si>
    <t>Subtotal  Planeacion de Proyectos</t>
  </si>
  <si>
    <t>COORDINADO DE DISEÑO</t>
  </si>
  <si>
    <t>IVA / UTILIDAD</t>
  </si>
  <si>
    <t>Subtotal  Otros Gastos</t>
  </si>
  <si>
    <t>ULTRASONIDO</t>
  </si>
  <si>
    <t>DISPONIBILIDAD DE EQUIPO Y PERSONAL</t>
  </si>
  <si>
    <t>Tomado de cotizacion CQA Ltada (Agosto 2014)</t>
  </si>
  <si>
    <t>Tomado de cotizacion CQA Ltada. (Agosto 2014).Afectado por (7) puntos de inspeccion por diametro</t>
  </si>
  <si>
    <t>Subtotal  Ultrasonido</t>
  </si>
  <si>
    <t>Subtotal  Tintas Penetrantes</t>
  </si>
  <si>
    <t>COSTO PRUEBA</t>
  </si>
  <si>
    <t>Tomado de cotizacion Sremcal (Octubre 2014)</t>
  </si>
  <si>
    <t>ESPESOR DE REVESTIMIENTO</t>
  </si>
  <si>
    <t>Subtotal  Revestimientos</t>
  </si>
  <si>
    <t>No. de Rollos de Wax Tape de 6"</t>
  </si>
  <si>
    <t>No. de Rollos de MC OUTERWRAP de 6"</t>
  </si>
  <si>
    <t>Galones Totales de Primer</t>
  </si>
  <si>
    <t>Recubrimiento de tuberia</t>
  </si>
  <si>
    <t>Recubrimiento de juntas</t>
  </si>
  <si>
    <t>Se consideraron 20 m de tuberia</t>
  </si>
  <si>
    <t>Se consideraron 8 juntas promedio</t>
  </si>
  <si>
    <t>Poly-Ply (Solo se usa con Wax-Tape #1)</t>
  </si>
  <si>
    <t>Recubrimiento de bridas</t>
  </si>
  <si>
    <t>No. De Rollos de Wax-Tape a Usar</t>
  </si>
  <si>
    <t>Se consideraron 2 bridas en la valvula</t>
  </si>
  <si>
    <t>RECUBRIMIENTO JUNTAS (8 UND)</t>
  </si>
  <si>
    <t>RECUBRIMIENTO BRIDAS (2 UND)</t>
  </si>
  <si>
    <t>COSTOS</t>
  </si>
  <si>
    <t>VR VALVULA DE BOLA CON VOLANTE</t>
  </si>
  <si>
    <t>COSTO VALVULA DE BOLA CON VOLANTE</t>
  </si>
  <si>
    <t>DIÁMETRO DERIVACIÓN (in)</t>
  </si>
  <si>
    <t>Ø LINEA PRINCIPAL (in)</t>
  </si>
  <si>
    <t>OD Línea principal (in)</t>
  </si>
  <si>
    <t>Altura (m)</t>
  </si>
  <si>
    <t>Lado (m)</t>
  </si>
  <si>
    <t>Costo Tapa Metálica</t>
  </si>
  <si>
    <t>N.A</t>
  </si>
  <si>
    <r>
      <t>VOLUMEN DE EXCAVACIÓN PARA REGISTROS  (m</t>
    </r>
    <r>
      <rPr>
        <b/>
        <i/>
        <vertAlign val="superscript"/>
        <sz val="12"/>
        <color theme="3"/>
        <rFont val="Arial"/>
        <family val="2"/>
      </rPr>
      <t>3</t>
    </r>
    <r>
      <rPr>
        <b/>
        <i/>
        <sz val="12"/>
        <color theme="3"/>
        <rFont val="Arial"/>
        <family val="2"/>
      </rPr>
      <t>)</t>
    </r>
  </si>
  <si>
    <r>
      <t>VOLUMEN DE REGISTROS PARA HOT TAPS  (m</t>
    </r>
    <r>
      <rPr>
        <b/>
        <i/>
        <vertAlign val="superscript"/>
        <sz val="12"/>
        <rFont val="Arial"/>
        <family val="2"/>
      </rPr>
      <t>3</t>
    </r>
    <r>
      <rPr>
        <b/>
        <i/>
        <sz val="12"/>
        <rFont val="Arial"/>
        <family val="2"/>
      </rPr>
      <t>)</t>
    </r>
  </si>
  <si>
    <t>Área Piso (m2)</t>
  </si>
  <si>
    <t>Área Paredes (m2)</t>
  </si>
  <si>
    <t>V. Unitario</t>
  </si>
  <si>
    <t>Demonte manual</t>
  </si>
  <si>
    <t>Explanación General y Retiro</t>
  </si>
  <si>
    <t>Excavación de Zapatas a más de 2 m</t>
  </si>
  <si>
    <t>Piso de concreto e=10 300 psi</t>
  </si>
  <si>
    <t>Excavación  + 2m</t>
  </si>
  <si>
    <t>Zapata concreto  3.000 psi</t>
  </si>
  <si>
    <t>Impermeabilización</t>
  </si>
  <si>
    <t>Acero de refuerzo 60.000 psi/ton</t>
  </si>
  <si>
    <t>Limpieza general y retiro de sobrantes</t>
  </si>
  <si>
    <t>Levante en bloque de cemento 20x20x40</t>
  </si>
  <si>
    <t>Pintura y Acabado</t>
  </si>
  <si>
    <t>m2 preparación de terreno</t>
  </si>
  <si>
    <t>m2 de varios</t>
  </si>
  <si>
    <r>
      <t>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excavación</t>
    </r>
  </si>
  <si>
    <r>
      <t>m</t>
    </r>
    <r>
      <rPr>
        <b/>
        <vertAlign val="superscript"/>
        <sz val="9"/>
        <rFont val="Arial"/>
        <family val="2"/>
      </rPr>
      <t>3</t>
    </r>
    <r>
      <rPr>
        <b/>
        <sz val="9"/>
        <rFont val="Arial"/>
        <family val="2"/>
      </rPr>
      <t xml:space="preserve"> construcción</t>
    </r>
  </si>
  <si>
    <t>13.</t>
  </si>
  <si>
    <t>TOPOGRAFO</t>
  </si>
  <si>
    <t>Subtotal  Mano de obra en campo</t>
  </si>
  <si>
    <t>Tomado de cotizacion puntos de salida actualizados a febrero de 2014</t>
  </si>
  <si>
    <t>Tomado presupuesto puntos de salida actualizados a febrero 2014  (valor servicio dia = $1,269,967)</t>
  </si>
  <si>
    <t>Tomado presupuesto puntos de salida actualizados febrero de 2014 (valor servicio dia= $385.348)</t>
  </si>
  <si>
    <t>Base de calculo galon combustible $8500 consumo promedio vehiculos=12km/galon, Rango de covertura =100 km/dia</t>
  </si>
  <si>
    <t>EQUIPOS MENORES Y HERRAMIENTAS DE MANO</t>
  </si>
  <si>
    <t>Subtotal  Equipos Menores y herr. de mano</t>
  </si>
  <si>
    <t>Subtotal  Equipos de perforacion</t>
  </si>
  <si>
    <t>Valores actualizados a  febrero de 2014</t>
  </si>
  <si>
    <t xml:space="preserve">Tomado presupuesto puntos de salida actualizado a febreo 2014 (valor global = $250,000) </t>
  </si>
  <si>
    <t xml:space="preserve">Tomado presupuesto puntos de salida actualizado a febreo 2014 (valor global = $100,000) </t>
  </si>
  <si>
    <t>TRANSPORTE DE EQUIPOS Y HTAS</t>
  </si>
  <si>
    <t>Subtotal  Transporte Equipos y htas</t>
  </si>
  <si>
    <t>SUB TOTAL SERVICIOS DE PERFORACION</t>
  </si>
  <si>
    <t>Valores actualizados a 2014</t>
  </si>
  <si>
    <r>
      <t>IPC</t>
    </r>
    <r>
      <rPr>
        <sz val="8"/>
        <color rgb="FF002060"/>
        <rFont val="Calibri"/>
        <family val="2"/>
        <scheme val="minor"/>
      </rPr>
      <t xml:space="preserve"> m</t>
    </r>
  </si>
  <si>
    <t>Valor dia</t>
  </si>
  <si>
    <t>OPERARIO MAQUINARIA</t>
  </si>
  <si>
    <t xml:space="preserve">Valor tasa de cambio del ejercicio 2004 = </t>
  </si>
  <si>
    <t xml:space="preserve">Valor tasa de cambio del ejercicio 2014 = </t>
  </si>
  <si>
    <t>Relacion de variacion en tasa de cambio=</t>
  </si>
  <si>
    <t>Costo m3 ejercicio 2004=</t>
  </si>
  <si>
    <t>us$/m3</t>
  </si>
  <si>
    <t>Costo m3 ejercicio 2014=</t>
  </si>
  <si>
    <t>VIATICOS  (Personal para polietileno)</t>
  </si>
  <si>
    <t>Subtotal  Viaticos</t>
  </si>
  <si>
    <t>MANO DE OBRA PREFABRICACION</t>
  </si>
  <si>
    <t>Subtotal  Mano de obra Prefabricacion</t>
  </si>
  <si>
    <t>44350 por metro</t>
  </si>
  <si>
    <t>48895 por metro</t>
  </si>
  <si>
    <t>RECUBRIMIENTO TUBERIA  HASTA 4 m.l</t>
  </si>
  <si>
    <t>Tomado de Puntos de salida cotizacion de mercado actualizada ene 2014</t>
  </si>
  <si>
    <t>Tomado de valores Itansuca dic 2004 tabla"Ejecucion de la derivacion (TAP)</t>
  </si>
  <si>
    <t>Dollar septiembre 2014</t>
  </si>
  <si>
    <t>Ucm (valor llevados de 2004 a 2014)</t>
  </si>
  <si>
    <t>Tomado de cotizacion febreo 2014, valor unidad / dia</t>
  </si>
  <si>
    <t>Se considera un gasto anual de papeleria de $4,000,000</t>
  </si>
  <si>
    <t>se considera valor de software especializado ($8,000,000) al año</t>
  </si>
  <si>
    <t>Se considera una ocupacion promedio de 5 dias de trabajo</t>
  </si>
  <si>
    <t>valor actualizado a 2014</t>
  </si>
  <si>
    <t>valor documento ITANSUCA 2004</t>
  </si>
  <si>
    <t>Tomado de valores enviados en presentacion Hot Tap. (actualizados a 2014)</t>
  </si>
  <si>
    <t>Valores actualizados a 2014 Cotizacion CON</t>
  </si>
  <si>
    <t>Tomado de tabla ensayos no destructivos precios actualizados a 2014</t>
  </si>
  <si>
    <t xml:space="preserve">Calculado con base en H-H y duracion de los trabajos (valores actualizados a 2014) </t>
  </si>
  <si>
    <t>Tomado de tabla ensayos no destructivos precios actualizados a 2014 (Para efectos del ejercicio se considera 1/3 del valor real de la prueba, dado que hay tres pruebas similares que no se aplican al mismo tiempo).</t>
  </si>
  <si>
    <t>Tomado de cotizacion Sremcal  (Para efectos del ejercicio se considera 1/3 del valor real de la prueba, dado que hay tres pruebas similares que no se aplican al mismo tiempo).</t>
  </si>
  <si>
    <t>FECHA DE REVISION:  NOVIEMBRE 16 DE 2014</t>
  </si>
  <si>
    <t>REVISION No: 1</t>
  </si>
  <si>
    <t>BY PASS (UCEVAL 3)</t>
  </si>
  <si>
    <t>POLIVALVULA</t>
  </si>
  <si>
    <t>SERVIDUMBRE Y TIERRAS</t>
  </si>
  <si>
    <t>REPLANTEO</t>
  </si>
  <si>
    <t>DEMOLICIONES</t>
  </si>
  <si>
    <t>EXCAVACION A MANO</t>
  </si>
  <si>
    <t>EXCAVACION MECANICA</t>
  </si>
  <si>
    <t>MANPOSTERIA</t>
  </si>
  <si>
    <t>PROCTOR MODIFICADO</t>
  </si>
  <si>
    <t>CILINDRO DE CONCRETO</t>
  </si>
  <si>
    <t>HERMITICIDAD</t>
  </si>
  <si>
    <t>REPARACION DE REVESTIMIENTOS</t>
  </si>
  <si>
    <t xml:space="preserve">Duracion trabajos dias  promedio </t>
  </si>
  <si>
    <t>Duracion trabajos perforacion  (DTP =1 dias)</t>
  </si>
  <si>
    <t>DTP=1 dias</t>
  </si>
  <si>
    <t>ALIMENTACION (Personal Hot Tap= 2 personas)</t>
  </si>
  <si>
    <t>ALOJAMIENTO  (Personal Hot Tap = 2 Personas)</t>
  </si>
  <si>
    <t>DTP=1dias</t>
  </si>
  <si>
    <t>Tomado presupuesto puntos de salida actualizado a febreo 2014 (valor = $1,332.000/dia) para la cuadrilla (8 personas)</t>
  </si>
  <si>
    <t>Hace referencia a los costos de alimentacion y alojamiento del personal que realiza el Cold Tap (Tomado para 4 Personas), el valor proviene de los valores consignados en el cuadro otros gastos</t>
  </si>
  <si>
    <t>Tomado presupuesto puntos de salida actualizado a febreo 2014 (valor = $200.000/dia) para la cuadrilla (8 personas)</t>
  </si>
  <si>
    <t>Se considera una ocupacion promedio de 2 dias de trabajo</t>
  </si>
  <si>
    <t>Se considera una ocupacion promedio de 1 dias de trabajo</t>
  </si>
  <si>
    <t>REV 02</t>
  </si>
  <si>
    <t>TRANSPORTE (Mensajeria)</t>
  </si>
  <si>
    <t>TRANSPORTE MENSAJERIA ADMON</t>
  </si>
  <si>
    <t>VALOR MODIFICADO 18 11 2014</t>
  </si>
  <si>
    <t>IVA 16%</t>
  </si>
  <si>
    <t>FACTOR DE AJUSTE</t>
  </si>
  <si>
    <t>NUEVA UNIDAD CONSTRUCTIVA  UCADE 4</t>
  </si>
  <si>
    <t>DERIVACION UTILIZANDO SPLIT TEE</t>
  </si>
  <si>
    <t>NUEVA UNIDAD CONSTRUCTIVA  UCADE 5</t>
  </si>
  <si>
    <t>NUEVA UNIDAD CONSTRUCTIVA  UCADE 6</t>
  </si>
  <si>
    <t>DERIVACION UTILIZANDO TEE SENCILLA</t>
  </si>
  <si>
    <t>TOTAL UCADE 4 ( HOT TAP UTILIZANDO SPLIT TEE)</t>
  </si>
  <si>
    <t>THREE WAY TEE</t>
  </si>
  <si>
    <t>DERIVACION UTILIZANDO THREE WAY TEE</t>
  </si>
  <si>
    <t>LINEA PRINCIPAL CON SPLIT TEE</t>
  </si>
  <si>
    <t>1911/2014</t>
  </si>
  <si>
    <t>SUBTOTAL UCADE 4</t>
  </si>
  <si>
    <t>LINEA PRINCIPAL THREE WAY TEE</t>
  </si>
  <si>
    <t>DOCUM  02-UC5 TW-2014</t>
  </si>
  <si>
    <t>TOTAL UCADE  5 (HOT TAP CON THREE WAY TEE)</t>
  </si>
  <si>
    <t>DOCUM  01-UC4 SP-2014</t>
  </si>
  <si>
    <t>DOCUM  02-UC6 SPTW-2014</t>
  </si>
  <si>
    <t>DERIVACION UTILIZANDO SPHERICAL THREE WAY TEE</t>
  </si>
  <si>
    <t>LINEA PRINCIPAL SPHERICAL THREE WAY TEE</t>
  </si>
  <si>
    <t>DOCUM  04-UC7 TS-2014</t>
  </si>
  <si>
    <t>LINEA PRINCIPAL TEE SENCILLA</t>
  </si>
  <si>
    <t>TEE SENCILLA</t>
  </si>
  <si>
    <t>DESARROLLO VALORES HOLD TAP Y COLD TAP PARA VALORAR NUEVAS UNIDADES CONSTRUCTIVAS</t>
  </si>
  <si>
    <t>SPHERICAL THREE WAY TEE</t>
  </si>
  <si>
    <t xml:space="preserve">TEE SENCILLA </t>
  </si>
  <si>
    <t>MATERIALES NUEVAS UNIDADES CONSTRUCTIVAS</t>
  </si>
  <si>
    <t>SPHERA THREE WAY TEE</t>
  </si>
  <si>
    <t>VALVULA SANDWITHC</t>
  </si>
  <si>
    <t>TOTAL UCADE 7 (COLD TAP CON TEE SENCILLA)</t>
  </si>
  <si>
    <t>SUBTOTAL UCADE 5</t>
  </si>
  <si>
    <t>TOTAL UCADE 6  (HOT TAP CON SPHERICAL THREE WAY)</t>
  </si>
  <si>
    <t>SUBTOTAL UCADE 6</t>
  </si>
  <si>
    <t>SUBTOTAL UCADE 7</t>
  </si>
  <si>
    <t>SUBTOTAL UCADE 8</t>
  </si>
  <si>
    <t>NUEVA UNIDAD CONSTRUCTIVA  UCADE 8</t>
  </si>
  <si>
    <t>DERIVACION UTILIZANDO WELDOLET, VALVULAS DE SACRIFICIO (SANDWCH) CON SPLIT TEE Y BY PASS</t>
  </si>
  <si>
    <t>DOCUM  04-UC8 ESP-2014</t>
  </si>
  <si>
    <t>LINEA PRINCIPAL ESPECIAL</t>
  </si>
  <si>
    <t>VALVULA DE SACRIFICIO UD=</t>
  </si>
  <si>
    <t>BRIDA WELDINECK            UD=</t>
  </si>
  <si>
    <t>WELDOLET                              UD=</t>
  </si>
  <si>
    <t>BY PASS</t>
  </si>
  <si>
    <t xml:space="preserve">SPLIT TEE                                 UD=  </t>
  </si>
  <si>
    <t>BY PASS                                     UD=</t>
  </si>
  <si>
    <t>TOTAL UCADE  8</t>
  </si>
</sst>
</file>

<file path=xl/styles.xml><?xml version="1.0" encoding="utf-8"?>
<styleSheet xmlns="http://schemas.openxmlformats.org/spreadsheetml/2006/main">
  <numFmts count="12">
    <numFmt numFmtId="5" formatCode="&quot;$&quot;\ #,##0_);\(&quot;$&quot;\ #,##0\)"/>
    <numFmt numFmtId="42" formatCode="_(&quot;$&quot;\ * #,##0_);_(&quot;$&quot;\ * \(#,##0\);_(&quot;$&quot;\ * &quot;-&quot;_);_(@_)"/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  <numFmt numFmtId="165" formatCode="0.000"/>
    <numFmt numFmtId="166" formatCode="_(&quot;$&quot;\ * #,##0.0_);_(&quot;$&quot;\ * \(#,##0.0\);_(&quot;$&quot;\ * &quot;-&quot;_);_(@_)"/>
    <numFmt numFmtId="167" formatCode="_(&quot;$&quot;\ * #,##0.00_);_(&quot;$&quot;\ * \(#,##0.00\);_(&quot;$&quot;\ * &quot;-&quot;_);_(@_)"/>
    <numFmt numFmtId="168" formatCode="[$$-2C0A]#,##0"/>
    <numFmt numFmtId="169" formatCode="[$$-2C0A]\ #,##0"/>
    <numFmt numFmtId="170" formatCode="_(&quot;$&quot;\ * #,##0.000_);_(&quot;$&quot;\ * \(#,##0.000\);_(&quot;$&quot;\ * &quot;-&quot;??_);_(@_)"/>
    <numFmt numFmtId="171" formatCode="0.0000"/>
    <numFmt numFmtId="172" formatCode="#,##0.0000_);\(#,##0.0000\)"/>
  </numFmts>
  <fonts count="4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0"/>
      <name val="Bauhaus 93"/>
      <family val="5"/>
    </font>
    <font>
      <b/>
      <sz val="14"/>
      <color theme="3"/>
      <name val="Arial"/>
      <family val="2"/>
    </font>
    <font>
      <sz val="10"/>
      <color theme="1"/>
      <name val="Arial"/>
      <family val="2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Arial"/>
      <family val="2"/>
    </font>
    <font>
      <b/>
      <sz val="14"/>
      <color rgb="FF002060"/>
      <name val="Arial"/>
      <family val="2"/>
    </font>
    <font>
      <sz val="10"/>
      <color theme="0"/>
      <name val="Bauhaus 93"/>
      <family val="5"/>
    </font>
    <font>
      <b/>
      <sz val="10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2"/>
      <color theme="0"/>
      <name val="Calibri"/>
      <family val="2"/>
      <scheme val="minor"/>
    </font>
    <font>
      <b/>
      <sz val="12"/>
      <name val="Times New Roman"/>
      <family val="1"/>
    </font>
    <font>
      <b/>
      <i/>
      <sz val="12"/>
      <name val="Arial"/>
      <family val="2"/>
    </font>
    <font>
      <b/>
      <i/>
      <vertAlign val="superscript"/>
      <sz val="12"/>
      <name val="Arial"/>
      <family val="2"/>
    </font>
    <font>
      <b/>
      <sz val="9"/>
      <name val="Arial"/>
      <family val="2"/>
    </font>
    <font>
      <b/>
      <sz val="8"/>
      <color theme="3"/>
      <name val="Arial"/>
      <family val="2"/>
    </font>
    <font>
      <b/>
      <sz val="9"/>
      <color theme="3"/>
      <name val="Arial"/>
      <family val="2"/>
    </font>
    <font>
      <b/>
      <i/>
      <sz val="12"/>
      <color theme="3"/>
      <name val="Arial"/>
      <family val="2"/>
    </font>
    <font>
      <b/>
      <i/>
      <vertAlign val="superscript"/>
      <sz val="12"/>
      <color theme="3"/>
      <name val="Arial"/>
      <family val="2"/>
    </font>
    <font>
      <sz val="9"/>
      <color theme="3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sz val="8"/>
      <color rgb="FF002060"/>
      <name val="Calibri"/>
      <family val="2"/>
      <scheme val="minor"/>
    </font>
    <font>
      <sz val="12"/>
      <name val="Times New Roman"/>
      <family val="1"/>
    </font>
    <font>
      <b/>
      <sz val="12"/>
      <name val="Calibri"/>
      <family val="2"/>
      <scheme val="minor"/>
    </font>
    <font>
      <b/>
      <sz val="22"/>
      <color rgb="FF00206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4" fillId="0" borderId="0"/>
    <xf numFmtId="0" fontId="41" fillId="0" borderId="0"/>
  </cellStyleXfs>
  <cellXfs count="100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0" xfId="0" applyBorder="1"/>
    <xf numFmtId="0" fontId="0" fillId="0" borderId="0" xfId="0" applyFill="1"/>
    <xf numFmtId="0" fontId="0" fillId="0" borderId="2" xfId="0" applyBorder="1"/>
    <xf numFmtId="0" fontId="0" fillId="0" borderId="22" xfId="0" applyBorder="1"/>
    <xf numFmtId="0" fontId="0" fillId="0" borderId="24" xfId="0" applyBorder="1"/>
    <xf numFmtId="0" fontId="0" fillId="0" borderId="15" xfId="0" applyBorder="1"/>
    <xf numFmtId="0" fontId="0" fillId="0" borderId="14" xfId="0" applyBorder="1"/>
    <xf numFmtId="164" fontId="0" fillId="0" borderId="1" xfId="0" applyNumberFormat="1" applyBorder="1"/>
    <xf numFmtId="0" fontId="0" fillId="10" borderId="1" xfId="0" applyFill="1" applyBorder="1"/>
    <xf numFmtId="164" fontId="0" fillId="10" borderId="1" xfId="0" applyNumberFormat="1" applyFill="1" applyBorder="1"/>
    <xf numFmtId="0" fontId="0" fillId="0" borderId="1" xfId="0" applyFill="1" applyBorder="1"/>
    <xf numFmtId="10" fontId="0" fillId="0" borderId="1" xfId="2" applyNumberFormat="1" applyFont="1" applyBorder="1"/>
    <xf numFmtId="0" fontId="0" fillId="0" borderId="0" xfId="0" applyAlignment="1">
      <alignment horizontal="center" vertical="center"/>
    </xf>
    <xf numFmtId="164" fontId="0" fillId="0" borderId="1" xfId="1" applyNumberFormat="1" applyFont="1" applyFill="1" applyBorder="1"/>
    <xf numFmtId="0" fontId="1" fillId="9" borderId="8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10" borderId="1" xfId="0" applyFill="1" applyBorder="1" applyAlignment="1">
      <alignment vertical="center" wrapText="1"/>
    </xf>
    <xf numFmtId="164" fontId="0" fillId="10" borderId="1" xfId="0" applyNumberFormat="1" applyFill="1" applyBorder="1" applyAlignment="1">
      <alignment vertical="center"/>
    </xf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6" xfId="0" applyBorder="1"/>
    <xf numFmtId="164" fontId="0" fillId="0" borderId="1" xfId="1" applyNumberFormat="1" applyFont="1" applyBorder="1"/>
    <xf numFmtId="0" fontId="0" fillId="0" borderId="52" xfId="0" applyBorder="1"/>
    <xf numFmtId="0" fontId="0" fillId="0" borderId="54" xfId="0" applyBorder="1"/>
    <xf numFmtId="164" fontId="14" fillId="0" borderId="1" xfId="1" applyNumberFormat="1" applyFont="1" applyBorder="1"/>
    <xf numFmtId="0" fontId="14" fillId="0" borderId="16" xfId="0" applyFont="1" applyBorder="1"/>
    <xf numFmtId="164" fontId="14" fillId="0" borderId="1" xfId="1" applyNumberFormat="1" applyFont="1" applyBorder="1" applyAlignment="1">
      <alignment horizontal="left" vertical="center"/>
    </xf>
    <xf numFmtId="164" fontId="3" fillId="11" borderId="24" xfId="0" applyNumberFormat="1" applyFont="1" applyFill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0" fontId="4" fillId="0" borderId="16" xfId="0" applyFont="1" applyBorder="1"/>
    <xf numFmtId="0" fontId="14" fillId="0" borderId="9" xfId="0" applyFont="1" applyBorder="1"/>
    <xf numFmtId="0" fontId="4" fillId="0" borderId="51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9" xfId="0" applyFont="1" applyBorder="1" applyAlignment="1">
      <alignment vertical="center"/>
    </xf>
    <xf numFmtId="0" fontId="14" fillId="0" borderId="51" xfId="0" applyFont="1" applyBorder="1"/>
    <xf numFmtId="0" fontId="4" fillId="0" borderId="40" xfId="0" applyFont="1" applyBorder="1" applyAlignment="1">
      <alignment horizontal="center" vertical="center"/>
    </xf>
    <xf numFmtId="0" fontId="4" fillId="0" borderId="2" xfId="0" applyFont="1" applyBorder="1"/>
    <xf numFmtId="0" fontId="14" fillId="0" borderId="2" xfId="0" applyFont="1" applyBorder="1"/>
    <xf numFmtId="0" fontId="4" fillId="10" borderId="1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1" fillId="10" borderId="1" xfId="0" applyFont="1" applyFill="1" applyBorder="1" applyAlignment="1">
      <alignment horizontal="center"/>
    </xf>
    <xf numFmtId="42" fontId="0" fillId="0" borderId="20" xfId="0" applyNumberFormat="1" applyBorder="1" applyAlignment="1">
      <alignment horizontal="center"/>
    </xf>
    <xf numFmtId="42" fontId="0" fillId="0" borderId="22" xfId="0" applyNumberFormat="1" applyBorder="1" applyAlignment="1">
      <alignment horizontal="center"/>
    </xf>
    <xf numFmtId="42" fontId="14" fillId="0" borderId="1" xfId="0" applyNumberFormat="1" applyFont="1" applyBorder="1"/>
    <xf numFmtId="164" fontId="0" fillId="0" borderId="1" xfId="1" applyNumberFormat="1" applyFont="1" applyBorder="1" applyAlignment="1">
      <alignment vertical="center"/>
    </xf>
    <xf numFmtId="0" fontId="0" fillId="0" borderId="2" xfId="0" applyFont="1" applyBorder="1" applyAlignment="1"/>
    <xf numFmtId="0" fontId="0" fillId="0" borderId="0" xfId="0" applyFill="1" applyBorder="1"/>
    <xf numFmtId="0" fontId="1" fillId="10" borderId="1" xfId="0" applyFont="1" applyFill="1" applyBorder="1" applyAlignment="1">
      <alignment horizontal="center" vertical="center"/>
    </xf>
    <xf numFmtId="164" fontId="3" fillId="11" borderId="66" xfId="0" applyNumberFormat="1" applyFont="1" applyFill="1" applyBorder="1" applyAlignment="1">
      <alignment vertical="center"/>
    </xf>
    <xf numFmtId="0" fontId="4" fillId="10" borderId="44" xfId="0" applyFont="1" applyFill="1" applyBorder="1" applyAlignment="1">
      <alignment horizontal="center" vertical="center"/>
    </xf>
    <xf numFmtId="164" fontId="14" fillId="0" borderId="8" xfId="1" applyNumberFormat="1" applyFont="1" applyBorder="1"/>
    <xf numFmtId="164" fontId="14" fillId="0" borderId="8" xfId="1" applyNumberFormat="1" applyFont="1" applyBorder="1" applyAlignment="1">
      <alignment horizontal="left" vertical="center"/>
    </xf>
    <xf numFmtId="0" fontId="14" fillId="0" borderId="1" xfId="0" applyFont="1" applyBorder="1"/>
    <xf numFmtId="0" fontId="0" fillId="0" borderId="51" xfId="0" applyBorder="1"/>
    <xf numFmtId="164" fontId="14" fillId="0" borderId="1" xfId="1" applyNumberFormat="1" applyFont="1" applyBorder="1" applyAlignment="1">
      <alignment vertical="center"/>
    </xf>
    <xf numFmtId="0" fontId="14" fillId="0" borderId="9" xfId="0" applyFont="1" applyBorder="1" applyAlignment="1">
      <alignment wrapText="1"/>
    </xf>
    <xf numFmtId="164" fontId="14" fillId="0" borderId="8" xfId="1" applyNumberFormat="1" applyFont="1" applyBorder="1" applyAlignment="1"/>
    <xf numFmtId="164" fontId="14" fillId="0" borderId="1" xfId="1" applyNumberFormat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 applyAlignment="1"/>
    <xf numFmtId="0" fontId="0" fillId="0" borderId="24" xfId="0" applyFill="1" applyBorder="1"/>
    <xf numFmtId="164" fontId="14" fillId="0" borderId="10" xfId="1" applyNumberFormat="1" applyFont="1" applyBorder="1" applyAlignment="1">
      <alignment vertical="center"/>
    </xf>
    <xf numFmtId="164" fontId="0" fillId="4" borderId="1" xfId="1" applyNumberFormat="1" applyFont="1" applyFill="1" applyBorder="1"/>
    <xf numFmtId="167" fontId="0" fillId="0" borderId="24" xfId="0" applyNumberFormat="1" applyBorder="1"/>
    <xf numFmtId="166" fontId="0" fillId="0" borderId="25" xfId="0" applyNumberFormat="1" applyBorder="1" applyAlignment="1">
      <alignment horizontal="center"/>
    </xf>
    <xf numFmtId="167" fontId="0" fillId="0" borderId="1" xfId="0" applyNumberForma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7" fontId="0" fillId="0" borderId="19" xfId="0" applyNumberFormat="1" applyBorder="1"/>
    <xf numFmtId="166" fontId="0" fillId="0" borderId="20" xfId="0" applyNumberForma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0" fontId="0" fillId="10" borderId="34" xfId="0" applyFill="1" applyBorder="1" applyAlignment="1">
      <alignment horizontal="center" vertical="center" wrapText="1"/>
    </xf>
    <xf numFmtId="0" fontId="0" fillId="10" borderId="35" xfId="0" applyFill="1" applyBorder="1" applyAlignment="1">
      <alignment horizontal="center" vertical="center" wrapText="1"/>
    </xf>
    <xf numFmtId="0" fontId="0" fillId="10" borderId="36" xfId="0" applyFill="1" applyBorder="1" applyAlignment="1">
      <alignment horizontal="center" vertical="center" wrapText="1"/>
    </xf>
    <xf numFmtId="44" fontId="0" fillId="0" borderId="1" xfId="1" applyFont="1" applyFill="1" applyBorder="1"/>
    <xf numFmtId="0" fontId="0" fillId="0" borderId="8" xfId="0" applyFill="1" applyBorder="1"/>
    <xf numFmtId="167" fontId="0" fillId="0" borderId="1" xfId="0" applyNumberFormat="1" applyBorder="1" applyAlignment="1">
      <alignment horizontal="center"/>
    </xf>
    <xf numFmtId="0" fontId="0" fillId="0" borderId="18" xfId="0" applyFill="1" applyBorder="1" applyAlignment="1">
      <alignment horizontal="center"/>
    </xf>
    <xf numFmtId="167" fontId="0" fillId="0" borderId="19" xfId="0" applyNumberFormat="1" applyBorder="1" applyAlignment="1">
      <alignment horizontal="center"/>
    </xf>
    <xf numFmtId="0" fontId="1" fillId="10" borderId="39" xfId="0" applyFont="1" applyFill="1" applyBorder="1" applyAlignment="1">
      <alignment horizontal="center"/>
    </xf>
    <xf numFmtId="0" fontId="1" fillId="10" borderId="38" xfId="0" applyFont="1" applyFill="1" applyBorder="1" applyAlignment="1">
      <alignment horizontal="center"/>
    </xf>
    <xf numFmtId="0" fontId="1" fillId="10" borderId="28" xfId="0" applyFont="1" applyFill="1" applyBorder="1" applyAlignment="1">
      <alignment horizontal="center"/>
    </xf>
    <xf numFmtId="44" fontId="0" fillId="0" borderId="0" xfId="0" applyNumberFormat="1"/>
    <xf numFmtId="0" fontId="0" fillId="0" borderId="73" xfId="0" applyBorder="1" applyAlignment="1">
      <alignment horizontal="center"/>
    </xf>
    <xf numFmtId="0" fontId="0" fillId="0" borderId="74" xfId="0" applyBorder="1" applyAlignment="1">
      <alignment horizontal="center"/>
    </xf>
    <xf numFmtId="167" fontId="0" fillId="0" borderId="74" xfId="0" applyNumberFormat="1" applyBorder="1" applyAlignment="1">
      <alignment horizontal="center"/>
    </xf>
    <xf numFmtId="42" fontId="0" fillId="0" borderId="75" xfId="0" applyNumberFormat="1" applyBorder="1" applyAlignment="1">
      <alignment horizontal="center"/>
    </xf>
    <xf numFmtId="0" fontId="0" fillId="0" borderId="3" xfId="0" applyBorder="1"/>
    <xf numFmtId="42" fontId="14" fillId="0" borderId="9" xfId="0" applyNumberFormat="1" applyFont="1" applyBorder="1"/>
    <xf numFmtId="164" fontId="14" fillId="13" borderId="1" xfId="0" applyNumberFormat="1" applyFont="1" applyFill="1" applyBorder="1"/>
    <xf numFmtId="44" fontId="14" fillId="13" borderId="1" xfId="0" applyNumberFormat="1" applyFont="1" applyFill="1" applyBorder="1"/>
    <xf numFmtId="0" fontId="4" fillId="0" borderId="1" xfId="0" applyFont="1" applyBorder="1" applyAlignment="1"/>
    <xf numFmtId="164" fontId="21" fillId="0" borderId="1" xfId="0" applyNumberFormat="1" applyFont="1" applyBorder="1"/>
    <xf numFmtId="0" fontId="26" fillId="0" borderId="0" xfId="3" applyFont="1" applyAlignment="1">
      <alignment vertical="justify" wrapText="1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42" fontId="23" fillId="0" borderId="1" xfId="0" applyNumberFormat="1" applyFont="1" applyBorder="1"/>
    <xf numFmtId="164" fontId="14" fillId="0" borderId="21" xfId="1" applyNumberFormat="1" applyFont="1" applyBorder="1"/>
    <xf numFmtId="164" fontId="14" fillId="0" borderId="22" xfId="1" applyNumberFormat="1" applyFont="1" applyBorder="1" applyAlignment="1"/>
    <xf numFmtId="164" fontId="14" fillId="0" borderId="23" xfId="1" applyNumberFormat="1" applyFont="1" applyBorder="1"/>
    <xf numFmtId="164" fontId="14" fillId="0" borderId="25" xfId="1" applyNumberFormat="1" applyFont="1" applyBorder="1" applyAlignment="1"/>
    <xf numFmtId="0" fontId="4" fillId="10" borderId="70" xfId="0" applyFont="1" applyFill="1" applyBorder="1" applyAlignment="1">
      <alignment horizontal="center" vertical="center"/>
    </xf>
    <xf numFmtId="164" fontId="14" fillId="0" borderId="24" xfId="1" applyNumberFormat="1" applyFont="1" applyBorder="1" applyAlignment="1">
      <alignment horizontal="center"/>
    </xf>
    <xf numFmtId="166" fontId="0" fillId="0" borderId="0" xfId="0" applyNumberFormat="1"/>
    <xf numFmtId="44" fontId="0" fillId="0" borderId="0" xfId="1" applyFont="1"/>
    <xf numFmtId="164" fontId="4" fillId="13" borderId="1" xfId="0" applyNumberFormat="1" applyFont="1" applyFill="1" applyBorder="1"/>
    <xf numFmtId="0" fontId="4" fillId="0" borderId="8" xfId="0" applyFont="1" applyFill="1" applyBorder="1" applyAlignment="1"/>
    <xf numFmtId="9" fontId="11" fillId="0" borderId="9" xfId="2" applyFont="1" applyBorder="1" applyAlignment="1">
      <alignment horizontal="center"/>
    </xf>
    <xf numFmtId="164" fontId="14" fillId="0" borderId="13" xfId="0" applyNumberFormat="1" applyFont="1" applyBorder="1"/>
    <xf numFmtId="0" fontId="11" fillId="0" borderId="51" xfId="0" applyFont="1" applyBorder="1" applyAlignment="1"/>
    <xf numFmtId="0" fontId="0" fillId="0" borderId="1" xfId="0" applyBorder="1" applyAlignment="1">
      <alignment horizontal="center" vertical="center"/>
    </xf>
    <xf numFmtId="0" fontId="1" fillId="9" borderId="8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0" fontId="4" fillId="10" borderId="1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56" xfId="0" applyBorder="1"/>
    <xf numFmtId="0" fontId="0" fillId="0" borderId="0" xfId="0" applyAlignment="1">
      <alignment horizontal="left"/>
    </xf>
    <xf numFmtId="0" fontId="4" fillId="10" borderId="10" xfId="0" applyFont="1" applyFill="1" applyBorder="1" applyAlignment="1">
      <alignment horizontal="center" vertical="center"/>
    </xf>
    <xf numFmtId="0" fontId="4" fillId="10" borderId="44" xfId="0" applyFont="1" applyFill="1" applyBorder="1" applyAlignment="1">
      <alignment horizontal="center" vertical="center"/>
    </xf>
    <xf numFmtId="164" fontId="3" fillId="11" borderId="32" xfId="0" applyNumberFormat="1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vertical="center"/>
    </xf>
    <xf numFmtId="1" fontId="29" fillId="0" borderId="0" xfId="3" applyNumberFormat="1" applyFont="1" applyBorder="1" applyAlignment="1">
      <alignment horizontal="centerContinuous"/>
    </xf>
    <xf numFmtId="0" fontId="1" fillId="0" borderId="1" xfId="0" applyFont="1" applyBorder="1"/>
    <xf numFmtId="0" fontId="1" fillId="0" borderId="1" xfId="0" applyFont="1" applyFill="1" applyBorder="1"/>
    <xf numFmtId="164" fontId="0" fillId="12" borderId="1" xfId="0" applyNumberFormat="1" applyFill="1" applyBorder="1"/>
    <xf numFmtId="0" fontId="0" fillId="0" borderId="53" xfId="0" applyBorder="1"/>
    <xf numFmtId="0" fontId="0" fillId="0" borderId="30" xfId="0" applyBorder="1"/>
    <xf numFmtId="0" fontId="0" fillId="0" borderId="42" xfId="0" applyBorder="1"/>
    <xf numFmtId="0" fontId="0" fillId="0" borderId="32" xfId="0" applyBorder="1"/>
    <xf numFmtId="0" fontId="14" fillId="0" borderId="51" xfId="0" applyFont="1" applyFill="1" applyBorder="1"/>
    <xf numFmtId="0" fontId="14" fillId="0" borderId="16" xfId="0" applyFont="1" applyFill="1" applyBorder="1"/>
    <xf numFmtId="164" fontId="14" fillId="0" borderId="1" xfId="1" applyNumberFormat="1" applyFont="1" applyFill="1" applyBorder="1" applyAlignment="1">
      <alignment vertical="center"/>
    </xf>
    <xf numFmtId="0" fontId="0" fillId="0" borderId="51" xfId="0" applyFill="1" applyBorder="1"/>
    <xf numFmtId="0" fontId="0" fillId="0" borderId="16" xfId="0" applyFill="1" applyBorder="1"/>
    <xf numFmtId="164" fontId="14" fillId="0" borderId="1" xfId="0" applyNumberFormat="1" applyFont="1" applyFill="1" applyBorder="1"/>
    <xf numFmtId="164" fontId="11" fillId="0" borderId="1" xfId="1" applyNumberFormat="1" applyFont="1" applyBorder="1"/>
    <xf numFmtId="164" fontId="11" fillId="0" borderId="22" xfId="1" applyNumberFormat="1" applyFont="1" applyBorder="1"/>
    <xf numFmtId="0" fontId="5" fillId="0" borderId="0" xfId="0" applyFont="1" applyFill="1" applyBorder="1" applyAlignment="1">
      <alignment vertical="center"/>
    </xf>
    <xf numFmtId="0" fontId="0" fillId="0" borderId="26" xfId="0" applyBorder="1"/>
    <xf numFmtId="0" fontId="0" fillId="0" borderId="61" xfId="0" applyBorder="1"/>
    <xf numFmtId="164" fontId="0" fillId="0" borderId="24" xfId="1" applyNumberFormat="1" applyFont="1" applyBorder="1" applyAlignment="1">
      <alignment vertical="center"/>
    </xf>
    <xf numFmtId="164" fontId="0" fillId="0" borderId="25" xfId="1" applyNumberFormat="1" applyFont="1" applyBorder="1" applyAlignment="1">
      <alignment vertical="center"/>
    </xf>
    <xf numFmtId="0" fontId="25" fillId="0" borderId="0" xfId="0" applyFont="1" applyFill="1" applyBorder="1" applyAlignment="1">
      <alignment horizontal="center"/>
    </xf>
    <xf numFmtId="0" fontId="24" fillId="0" borderId="0" xfId="0" applyFont="1" applyFill="1"/>
    <xf numFmtId="0" fontId="33" fillId="10" borderId="1" xfId="0" applyFont="1" applyFill="1" applyBorder="1" applyAlignment="1">
      <alignment horizontal="center" vertical="center" wrapText="1"/>
    </xf>
    <xf numFmtId="0" fontId="34" fillId="10" borderId="1" xfId="0" applyFont="1" applyFill="1" applyBorder="1" applyAlignment="1">
      <alignment horizontal="center" vertical="center"/>
    </xf>
    <xf numFmtId="4" fontId="37" fillId="0" borderId="1" xfId="0" applyNumberFormat="1" applyFont="1" applyBorder="1" applyAlignment="1">
      <alignment horizontal="center"/>
    </xf>
    <xf numFmtId="0" fontId="37" fillId="0" borderId="21" xfId="0" applyFont="1" applyBorder="1" applyAlignment="1">
      <alignment horizontal="center"/>
    </xf>
    <xf numFmtId="2" fontId="37" fillId="0" borderId="1" xfId="0" applyNumberFormat="1" applyFont="1" applyBorder="1" applyAlignment="1">
      <alignment horizontal="center"/>
    </xf>
    <xf numFmtId="168" fontId="37" fillId="0" borderId="22" xfId="0" applyNumberFormat="1" applyFont="1" applyBorder="1" applyAlignment="1">
      <alignment vertical="center"/>
    </xf>
    <xf numFmtId="4" fontId="37" fillId="0" borderId="1" xfId="0" applyNumberFormat="1" applyFont="1" applyFill="1" applyBorder="1" applyAlignment="1">
      <alignment horizontal="center"/>
    </xf>
    <xf numFmtId="0" fontId="37" fillId="0" borderId="23" xfId="0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168" fontId="37" fillId="0" borderId="25" xfId="0" applyNumberFormat="1" applyFont="1" applyBorder="1" applyAlignment="1">
      <alignment vertical="center"/>
    </xf>
    <xf numFmtId="0" fontId="34" fillId="10" borderId="8" xfId="0" applyFont="1" applyFill="1" applyBorder="1" applyAlignment="1">
      <alignment horizontal="center" vertical="center"/>
    </xf>
    <xf numFmtId="4" fontId="37" fillId="0" borderId="8" xfId="0" applyNumberFormat="1" applyFont="1" applyBorder="1" applyAlignment="1">
      <alignment horizontal="center"/>
    </xf>
    <xf numFmtId="4" fontId="37" fillId="0" borderId="8" xfId="0" applyNumberFormat="1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0" fillId="10" borderId="52" xfId="0" applyFill="1" applyBorder="1"/>
    <xf numFmtId="0" fontId="33" fillId="10" borderId="21" xfId="0" applyFont="1" applyFill="1" applyBorder="1" applyAlignment="1">
      <alignment horizontal="center" vertical="center" wrapText="1"/>
    </xf>
    <xf numFmtId="0" fontId="33" fillId="10" borderId="22" xfId="0" applyFont="1" applyFill="1" applyBorder="1" applyAlignment="1">
      <alignment horizontal="center" vertical="center" wrapText="1"/>
    </xf>
    <xf numFmtId="0" fontId="34" fillId="0" borderId="21" xfId="0" applyFont="1" applyBorder="1" applyAlignment="1">
      <alignment horizontal="center"/>
    </xf>
    <xf numFmtId="0" fontId="34" fillId="0" borderId="21" xfId="0" applyFont="1" applyFill="1" applyBorder="1" applyAlignment="1">
      <alignment horizontal="center"/>
    </xf>
    <xf numFmtId="0" fontId="34" fillId="0" borderId="23" xfId="0" applyFont="1" applyFill="1" applyBorder="1" applyAlignment="1">
      <alignment horizontal="center"/>
    </xf>
    <xf numFmtId="4" fontId="37" fillId="0" borderId="24" xfId="0" applyNumberFormat="1" applyFont="1" applyBorder="1" applyAlignment="1">
      <alignment horizontal="center"/>
    </xf>
    <xf numFmtId="4" fontId="37" fillId="0" borderId="44" xfId="0" applyNumberFormat="1" applyFont="1" applyBorder="1" applyAlignment="1">
      <alignment horizontal="center"/>
    </xf>
    <xf numFmtId="0" fontId="37" fillId="0" borderId="24" xfId="0" applyFont="1" applyBorder="1" applyAlignment="1">
      <alignment horizontal="center"/>
    </xf>
    <xf numFmtId="0" fontId="25" fillId="10" borderId="48" xfId="0" applyFont="1" applyFill="1" applyBorder="1" applyAlignment="1">
      <alignment horizontal="center"/>
    </xf>
    <xf numFmtId="0" fontId="30" fillId="10" borderId="48" xfId="0" applyFont="1" applyFill="1" applyBorder="1" applyAlignment="1">
      <alignment horizontal="center" vertical="center"/>
    </xf>
    <xf numFmtId="0" fontId="24" fillId="10" borderId="49" xfId="0" applyFont="1" applyFill="1" applyBorder="1"/>
    <xf numFmtId="0" fontId="33" fillId="10" borderId="0" xfId="0" applyFont="1" applyFill="1" applyBorder="1" applyAlignment="1">
      <alignment horizontal="center"/>
    </xf>
    <xf numFmtId="0" fontId="11" fillId="10" borderId="0" xfId="0" applyFont="1" applyFill="1" applyBorder="1"/>
    <xf numFmtId="0" fontId="11" fillId="10" borderId="54" xfId="0" applyFont="1" applyFill="1" applyBorder="1"/>
    <xf numFmtId="0" fontId="24" fillId="0" borderId="0" xfId="0" applyFont="1" applyFill="1" applyBorder="1"/>
    <xf numFmtId="4" fontId="26" fillId="0" borderId="0" xfId="0" applyNumberFormat="1" applyFont="1" applyBorder="1" applyAlignment="1">
      <alignment horizontal="center"/>
    </xf>
    <xf numFmtId="4" fontId="37" fillId="0" borderId="24" xfId="0" applyNumberFormat="1" applyFont="1" applyFill="1" applyBorder="1" applyAlignment="1">
      <alignment horizontal="center"/>
    </xf>
    <xf numFmtId="0" fontId="0" fillId="10" borderId="21" xfId="0" applyFill="1" applyBorder="1"/>
    <xf numFmtId="0" fontId="34" fillId="10" borderId="21" xfId="0" applyFont="1" applyFill="1" applyBorder="1" applyAlignment="1">
      <alignment horizontal="center" vertical="center" wrapText="1"/>
    </xf>
    <xf numFmtId="2" fontId="37" fillId="0" borderId="22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4" fontId="37" fillId="0" borderId="44" xfId="0" applyNumberFormat="1" applyFont="1" applyFill="1" applyBorder="1" applyAlignment="1">
      <alignment horizontal="center"/>
    </xf>
    <xf numFmtId="0" fontId="34" fillId="10" borderId="18" xfId="0" applyFont="1" applyFill="1" applyBorder="1" applyAlignment="1">
      <alignment horizontal="center" vertical="center" wrapText="1"/>
    </xf>
    <xf numFmtId="0" fontId="34" fillId="10" borderId="19" xfId="0" applyFont="1" applyFill="1" applyBorder="1" applyAlignment="1">
      <alignment horizontal="center" vertical="center" wrapText="1"/>
    </xf>
    <xf numFmtId="0" fontId="34" fillId="10" borderId="20" xfId="0" applyFont="1" applyFill="1" applyBorder="1" applyAlignment="1">
      <alignment horizontal="center" vertical="center" wrapText="1"/>
    </xf>
    <xf numFmtId="0" fontId="38" fillId="0" borderId="47" xfId="0" applyFont="1" applyBorder="1"/>
    <xf numFmtId="0" fontId="38" fillId="0" borderId="48" xfId="0" applyFont="1" applyBorder="1"/>
    <xf numFmtId="0" fontId="32" fillId="0" borderId="48" xfId="0" applyFont="1" applyBorder="1" applyAlignment="1">
      <alignment horizontal="center"/>
    </xf>
    <xf numFmtId="0" fontId="32" fillId="0" borderId="49" xfId="0" applyFont="1" applyBorder="1" applyAlignment="1">
      <alignment horizontal="center"/>
    </xf>
    <xf numFmtId="168" fontId="38" fillId="0" borderId="87" xfId="0" applyNumberFormat="1" applyFont="1" applyFill="1" applyBorder="1" applyAlignment="1">
      <alignment horizontal="center" vertical="center"/>
    </xf>
    <xf numFmtId="168" fontId="38" fillId="0" borderId="87" xfId="0" applyNumberFormat="1" applyFont="1" applyFill="1" applyBorder="1" applyAlignment="1">
      <alignment vertical="center"/>
    </xf>
    <xf numFmtId="168" fontId="38" fillId="0" borderId="22" xfId="0" applyNumberFormat="1" applyFont="1" applyFill="1" applyBorder="1" applyAlignment="1">
      <alignment vertical="center"/>
    </xf>
    <xf numFmtId="0" fontId="13" fillId="0" borderId="30" xfId="0" applyFont="1" applyBorder="1"/>
    <xf numFmtId="0" fontId="32" fillId="0" borderId="42" xfId="0" applyFont="1" applyBorder="1" applyAlignment="1">
      <alignment horizontal="right"/>
    </xf>
    <xf numFmtId="169" fontId="32" fillId="0" borderId="88" xfId="0" applyNumberFormat="1" applyFont="1" applyFill="1" applyBorder="1"/>
    <xf numFmtId="0" fontId="13" fillId="0" borderId="42" xfId="0" applyFont="1" applyBorder="1"/>
    <xf numFmtId="169" fontId="32" fillId="0" borderId="89" xfId="0" applyNumberFormat="1" applyFont="1" applyFill="1" applyBorder="1"/>
    <xf numFmtId="0" fontId="13" fillId="0" borderId="90" xfId="0" applyFont="1" applyBorder="1"/>
    <xf numFmtId="169" fontId="32" fillId="0" borderId="25" xfId="0" applyNumberFormat="1" applyFont="1" applyFill="1" applyBorder="1"/>
    <xf numFmtId="0" fontId="26" fillId="0" borderId="0" xfId="3" applyFont="1" applyFill="1" applyBorder="1" applyAlignment="1">
      <alignment vertical="justify" wrapText="1"/>
    </xf>
    <xf numFmtId="0" fontId="26" fillId="0" borderId="0" xfId="3" applyFont="1" applyBorder="1" applyAlignment="1">
      <alignment horizontal="center" vertical="justify" wrapText="1"/>
    </xf>
    <xf numFmtId="168" fontId="26" fillId="0" borderId="0" xfId="3" applyNumberFormat="1" applyFont="1" applyBorder="1" applyAlignment="1">
      <alignment vertical="justify" wrapText="1"/>
    </xf>
    <xf numFmtId="164" fontId="14" fillId="0" borderId="1" xfId="1" applyNumberFormat="1" applyFont="1" applyFill="1" applyBorder="1"/>
    <xf numFmtId="0" fontId="25" fillId="0" borderId="0" xfId="3" applyFont="1" applyBorder="1" applyAlignment="1">
      <alignment horizontal="center" vertical="center"/>
    </xf>
    <xf numFmtId="168" fontId="26" fillId="0" borderId="0" xfId="3" applyNumberFormat="1" applyFont="1" applyFill="1" applyBorder="1" applyAlignment="1">
      <alignment vertical="center"/>
    </xf>
    <xf numFmtId="0" fontId="14" fillId="0" borderId="0" xfId="0" applyFont="1" applyFill="1"/>
    <xf numFmtId="0" fontId="14" fillId="0" borderId="0" xfId="0" applyFont="1" applyFill="1" applyBorder="1"/>
    <xf numFmtId="164" fontId="3" fillId="11" borderId="35" xfId="0" applyNumberFormat="1" applyFont="1" applyFill="1" applyBorder="1" applyAlignment="1">
      <alignment vertical="center"/>
    </xf>
    <xf numFmtId="164" fontId="3" fillId="11" borderId="36" xfId="0" applyNumberFormat="1" applyFont="1" applyFill="1" applyBorder="1" applyAlignment="1">
      <alignment vertical="center"/>
    </xf>
    <xf numFmtId="0" fontId="4" fillId="10" borderId="71" xfId="0" applyFont="1" applyFill="1" applyBorder="1" applyAlignment="1">
      <alignment horizontal="center" vertical="center"/>
    </xf>
    <xf numFmtId="0" fontId="4" fillId="10" borderId="58" xfId="0" applyFont="1" applyFill="1" applyBorder="1" applyAlignment="1">
      <alignment horizontal="center" vertical="center"/>
    </xf>
    <xf numFmtId="164" fontId="14" fillId="0" borderId="1" xfId="1" applyNumberFormat="1" applyFont="1" applyFill="1" applyBorder="1" applyAlignment="1">
      <alignment horizontal="center"/>
    </xf>
    <xf numFmtId="164" fontId="3" fillId="11" borderId="27" xfId="0" applyNumberFormat="1" applyFont="1" applyFill="1" applyBorder="1" applyAlignment="1">
      <alignment vertical="center"/>
    </xf>
    <xf numFmtId="164" fontId="14" fillId="0" borderId="21" xfId="1" applyNumberFormat="1" applyFont="1" applyFill="1" applyBorder="1"/>
    <xf numFmtId="164" fontId="14" fillId="0" borderId="22" xfId="1" applyNumberFormat="1" applyFont="1" applyFill="1" applyBorder="1"/>
    <xf numFmtId="164" fontId="3" fillId="11" borderId="23" xfId="0" applyNumberFormat="1" applyFont="1" applyFill="1" applyBorder="1" applyAlignment="1">
      <alignment vertical="center"/>
    </xf>
    <xf numFmtId="164" fontId="3" fillId="11" borderId="25" xfId="0" applyNumberFormat="1" applyFont="1" applyFill="1" applyBorder="1" applyAlignment="1">
      <alignment vertical="center"/>
    </xf>
    <xf numFmtId="0" fontId="4" fillId="10" borderId="91" xfId="0" applyFont="1" applyFill="1" applyBorder="1" applyAlignment="1">
      <alignment horizontal="center" vertical="center"/>
    </xf>
    <xf numFmtId="164" fontId="14" fillId="0" borderId="78" xfId="1" applyNumberFormat="1" applyFont="1" applyFill="1" applyBorder="1"/>
    <xf numFmtId="164" fontId="3" fillId="11" borderId="92" xfId="0" applyNumberFormat="1" applyFont="1" applyFill="1" applyBorder="1" applyAlignment="1">
      <alignment vertical="center"/>
    </xf>
    <xf numFmtId="0" fontId="14" fillId="0" borderId="53" xfId="0" applyFont="1" applyFill="1" applyBorder="1"/>
    <xf numFmtId="0" fontId="14" fillId="0" borderId="40" xfId="0" applyFont="1" applyFill="1" applyBorder="1"/>
    <xf numFmtId="0" fontId="14" fillId="0" borderId="2" xfId="0" applyFont="1" applyFill="1" applyBorder="1"/>
    <xf numFmtId="0" fontId="14" fillId="0" borderId="41" xfId="0" applyFont="1" applyFill="1" applyBorder="1"/>
    <xf numFmtId="164" fontId="14" fillId="0" borderId="81" xfId="1" applyNumberFormat="1" applyFont="1" applyFill="1" applyBorder="1"/>
    <xf numFmtId="164" fontId="14" fillId="0" borderId="12" xfId="1" applyNumberFormat="1" applyFont="1" applyFill="1" applyBorder="1"/>
    <xf numFmtId="164" fontId="14" fillId="0" borderId="60" xfId="1" applyNumberFormat="1" applyFont="1" applyFill="1" applyBorder="1"/>
    <xf numFmtId="164" fontId="14" fillId="0" borderId="93" xfId="1" applyNumberFormat="1" applyFont="1" applyFill="1" applyBorder="1"/>
    <xf numFmtId="0" fontId="0" fillId="0" borderId="30" xfId="0" applyFill="1" applyBorder="1"/>
    <xf numFmtId="0" fontId="0" fillId="0" borderId="42" xfId="0" applyFill="1" applyBorder="1"/>
    <xf numFmtId="0" fontId="0" fillId="0" borderId="32" xfId="0" applyFill="1" applyBorder="1"/>
    <xf numFmtId="0" fontId="11" fillId="0" borderId="92" xfId="0" applyFont="1" applyFill="1" applyBorder="1" applyAlignment="1">
      <alignment horizontal="center" vertical="center"/>
    </xf>
    <xf numFmtId="164" fontId="14" fillId="0" borderId="21" xfId="1" applyNumberFormat="1" applyFont="1" applyFill="1" applyBorder="1" applyAlignment="1">
      <alignment horizontal="center"/>
    </xf>
    <xf numFmtId="164" fontId="14" fillId="0" borderId="22" xfId="1" applyNumberFormat="1" applyFont="1" applyFill="1" applyBorder="1" applyAlignment="1">
      <alignment horizontal="center"/>
    </xf>
    <xf numFmtId="164" fontId="14" fillId="0" borderId="78" xfId="1" applyNumberFormat="1" applyFont="1" applyFill="1" applyBorder="1" applyAlignment="1">
      <alignment horizontal="center"/>
    </xf>
    <xf numFmtId="0" fontId="14" fillId="0" borderId="52" xfId="0" applyFont="1" applyBorder="1"/>
    <xf numFmtId="0" fontId="14" fillId="0" borderId="0" xfId="0" applyFont="1" applyBorder="1"/>
    <xf numFmtId="164" fontId="14" fillId="0" borderId="11" xfId="1" applyNumberFormat="1" applyFont="1" applyBorder="1"/>
    <xf numFmtId="0" fontId="0" fillId="0" borderId="50" xfId="0" applyBorder="1"/>
    <xf numFmtId="0" fontId="14" fillId="0" borderId="54" xfId="0" applyFont="1" applyBorder="1"/>
    <xf numFmtId="0" fontId="4" fillId="10" borderId="18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164" fontId="14" fillId="0" borderId="64" xfId="1" applyNumberFormat="1" applyFont="1" applyBorder="1"/>
    <xf numFmtId="164" fontId="14" fillId="0" borderId="65" xfId="1" applyNumberFormat="1" applyFont="1" applyBorder="1"/>
    <xf numFmtId="164" fontId="3" fillId="11" borderId="34" xfId="0" applyNumberFormat="1" applyFont="1" applyFill="1" applyBorder="1" applyAlignment="1">
      <alignment vertical="center"/>
    </xf>
    <xf numFmtId="0" fontId="4" fillId="10" borderId="79" xfId="0" applyFont="1" applyFill="1" applyBorder="1" applyAlignment="1">
      <alignment horizontal="center" vertical="center"/>
    </xf>
    <xf numFmtId="0" fontId="11" fillId="0" borderId="92" xfId="0" applyFont="1" applyBorder="1" applyAlignment="1">
      <alignment horizontal="center" vertical="center"/>
    </xf>
    <xf numFmtId="164" fontId="14" fillId="0" borderId="80" xfId="1" applyNumberFormat="1" applyFont="1" applyBorder="1"/>
    <xf numFmtId="164" fontId="3" fillId="11" borderId="17" xfId="0" applyNumberFormat="1" applyFont="1" applyFill="1" applyBorder="1" applyAlignment="1">
      <alignment vertical="center"/>
    </xf>
    <xf numFmtId="164" fontId="14" fillId="0" borderId="12" xfId="1" applyNumberFormat="1" applyFont="1" applyBorder="1" applyAlignment="1">
      <alignment vertical="center"/>
    </xf>
    <xf numFmtId="0" fontId="14" fillId="0" borderId="40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51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41" xfId="0" applyFont="1" applyBorder="1" applyAlignment="1">
      <alignment vertical="center"/>
    </xf>
    <xf numFmtId="0" fontId="14" fillId="0" borderId="53" xfId="0" applyFont="1" applyBorder="1" applyAlignment="1">
      <alignment vertical="center"/>
    </xf>
    <xf numFmtId="164" fontId="14" fillId="0" borderId="81" xfId="1" applyNumberFormat="1" applyFont="1" applyBorder="1" applyAlignment="1">
      <alignment vertical="center"/>
    </xf>
    <xf numFmtId="164" fontId="14" fillId="0" borderId="60" xfId="1" applyNumberFormat="1" applyFont="1" applyBorder="1" applyAlignment="1">
      <alignment vertical="center"/>
    </xf>
    <xf numFmtId="164" fontId="14" fillId="0" borderId="21" xfId="1" applyNumberFormat="1" applyFont="1" applyBorder="1" applyAlignment="1">
      <alignment vertical="center"/>
    </xf>
    <xf numFmtId="164" fontId="14" fillId="0" borderId="22" xfId="1" applyNumberFormat="1" applyFont="1" applyBorder="1" applyAlignment="1">
      <alignment vertical="center"/>
    </xf>
    <xf numFmtId="164" fontId="14" fillId="0" borderId="93" xfId="1" applyNumberFormat="1" applyFont="1" applyBorder="1" applyAlignment="1">
      <alignment vertical="center"/>
    </xf>
    <xf numFmtId="164" fontId="14" fillId="0" borderId="78" xfId="1" applyNumberFormat="1" applyFont="1" applyBorder="1" applyAlignment="1">
      <alignment vertical="center"/>
    </xf>
    <xf numFmtId="0" fontId="4" fillId="0" borderId="4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164" fontId="14" fillId="0" borderId="21" xfId="1" applyNumberFormat="1" applyFont="1" applyFill="1" applyBorder="1" applyAlignment="1">
      <alignment vertical="center"/>
    </xf>
    <xf numFmtId="164" fontId="14" fillId="0" borderId="22" xfId="1" applyNumberFormat="1" applyFont="1" applyFill="1" applyBorder="1" applyAlignment="1">
      <alignment vertical="center"/>
    </xf>
    <xf numFmtId="164" fontId="14" fillId="0" borderId="78" xfId="1" applyNumberFormat="1" applyFont="1" applyFill="1" applyBorder="1" applyAlignment="1">
      <alignment vertical="center"/>
    </xf>
    <xf numFmtId="164" fontId="3" fillId="11" borderId="30" xfId="0" applyNumberFormat="1" applyFont="1" applyFill="1" applyBorder="1" applyAlignment="1">
      <alignment horizontal="center" vertical="center"/>
    </xf>
    <xf numFmtId="164" fontId="3" fillId="11" borderId="28" xfId="0" applyNumberFormat="1" applyFont="1" applyFill="1" applyBorder="1" applyAlignment="1">
      <alignment vertical="center"/>
    </xf>
    <xf numFmtId="164" fontId="3" fillId="11" borderId="39" xfId="0" applyNumberFormat="1" applyFont="1" applyFill="1" applyBorder="1" applyAlignment="1">
      <alignment vertical="center"/>
    </xf>
    <xf numFmtId="0" fontId="4" fillId="10" borderId="69" xfId="0" applyFont="1" applyFill="1" applyBorder="1" applyAlignment="1">
      <alignment horizontal="center" vertical="center"/>
    </xf>
    <xf numFmtId="164" fontId="14" fillId="0" borderId="8" xfId="1" applyNumberFormat="1" applyFont="1" applyFill="1" applyBorder="1"/>
    <xf numFmtId="0" fontId="3" fillId="11" borderId="26" xfId="0" applyFont="1" applyFill="1" applyBorder="1" applyAlignment="1">
      <alignment wrapText="1"/>
    </xf>
    <xf numFmtId="0" fontId="3" fillId="11" borderId="61" xfId="0" applyFont="1" applyFill="1" applyBorder="1" applyAlignment="1">
      <alignment wrapText="1"/>
    </xf>
    <xf numFmtId="0" fontId="3" fillId="11" borderId="50" xfId="0" applyFont="1" applyFill="1" applyBorder="1" applyAlignment="1">
      <alignment wrapText="1"/>
    </xf>
    <xf numFmtId="0" fontId="3" fillId="11" borderId="26" xfId="0" applyFont="1" applyFill="1" applyBorder="1" applyAlignment="1">
      <alignment vertical="center" wrapText="1"/>
    </xf>
    <xf numFmtId="0" fontId="3" fillId="11" borderId="61" xfId="0" applyFont="1" applyFill="1" applyBorder="1" applyAlignment="1">
      <alignment vertical="center" wrapText="1"/>
    </xf>
    <xf numFmtId="0" fontId="3" fillId="11" borderId="50" xfId="0" applyFont="1" applyFill="1" applyBorder="1" applyAlignment="1">
      <alignment vertical="center" wrapText="1"/>
    </xf>
    <xf numFmtId="0" fontId="3" fillId="11" borderId="39" xfId="0" applyFont="1" applyFill="1" applyBorder="1" applyAlignment="1">
      <alignment vertical="center" wrapText="1"/>
    </xf>
    <xf numFmtId="0" fontId="3" fillId="11" borderId="38" xfId="0" applyFont="1" applyFill="1" applyBorder="1" applyAlignment="1">
      <alignment vertical="center" wrapText="1"/>
    </xf>
    <xf numFmtId="0" fontId="3" fillId="11" borderId="28" xfId="0" applyFont="1" applyFill="1" applyBorder="1" applyAlignment="1">
      <alignment vertical="center" wrapText="1"/>
    </xf>
    <xf numFmtId="1" fontId="11" fillId="0" borderId="9" xfId="0" applyNumberFormat="1" applyFont="1" applyBorder="1" applyAlignment="1">
      <alignment horizontal="left"/>
    </xf>
    <xf numFmtId="0" fontId="10" fillId="0" borderId="22" xfId="0" applyFont="1" applyBorder="1" applyAlignment="1">
      <alignment horizontal="center" vertical="center"/>
    </xf>
    <xf numFmtId="0" fontId="11" fillId="0" borderId="22" xfId="0" applyFont="1" applyBorder="1"/>
    <xf numFmtId="0" fontId="11" fillId="0" borderId="51" xfId="0" applyFont="1" applyBorder="1"/>
    <xf numFmtId="1" fontId="11" fillId="0" borderId="51" xfId="0" applyNumberFormat="1" applyFont="1" applyBorder="1" applyAlignment="1">
      <alignment horizontal="left"/>
    </xf>
    <xf numFmtId="0" fontId="10" fillId="2" borderId="76" xfId="0" applyFont="1" applyFill="1" applyBorder="1" applyAlignment="1"/>
    <xf numFmtId="0" fontId="10" fillId="2" borderId="29" xfId="0" applyFont="1" applyFill="1" applyBorder="1" applyAlignment="1"/>
    <xf numFmtId="42" fontId="0" fillId="0" borderId="43" xfId="0" applyNumberFormat="1" applyBorder="1" applyAlignment="1"/>
    <xf numFmtId="42" fontId="0" fillId="0" borderId="62" xfId="0" applyNumberFormat="1" applyBorder="1" applyAlignment="1"/>
    <xf numFmtId="42" fontId="0" fillId="0" borderId="63" xfId="0" applyNumberFormat="1" applyBorder="1" applyAlignment="1"/>
    <xf numFmtId="164" fontId="0" fillId="4" borderId="9" xfId="1" applyNumberFormat="1" applyFont="1" applyFill="1" applyBorder="1"/>
    <xf numFmtId="0" fontId="4" fillId="0" borderId="52" xfId="0" applyFont="1" applyFill="1" applyBorder="1" applyAlignment="1">
      <alignment vertical="center"/>
    </xf>
    <xf numFmtId="164" fontId="0" fillId="0" borderId="52" xfId="1" applyNumberFormat="1" applyFont="1" applyFill="1" applyBorder="1"/>
    <xf numFmtId="0" fontId="14" fillId="0" borderId="9" xfId="0" applyFont="1" applyBorder="1" applyAlignment="1"/>
    <xf numFmtId="0" fontId="14" fillId="0" borderId="27" xfId="0" applyFont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10" borderId="10" xfId="0" applyFill="1" applyBorder="1" applyAlignment="1">
      <alignment vertical="center" wrapText="1"/>
    </xf>
    <xf numFmtId="10" fontId="0" fillId="10" borderId="10" xfId="2" applyNumberFormat="1" applyFont="1" applyFill="1" applyBorder="1" applyAlignment="1">
      <alignment vertical="center"/>
    </xf>
    <xf numFmtId="0" fontId="0" fillId="10" borderId="11" xfId="0" applyFill="1" applyBorder="1" applyAlignment="1">
      <alignment vertical="center" wrapText="1"/>
    </xf>
    <xf numFmtId="10" fontId="0" fillId="10" borderId="11" xfId="2" applyNumberFormat="1" applyFont="1" applyFill="1" applyBorder="1" applyAlignment="1">
      <alignment vertical="center"/>
    </xf>
    <xf numFmtId="0" fontId="0" fillId="10" borderId="12" xfId="0" applyFill="1" applyBorder="1" applyAlignment="1">
      <alignment vertical="center" wrapText="1"/>
    </xf>
    <xf numFmtId="10" fontId="0" fillId="10" borderId="12" xfId="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0" fontId="0" fillId="0" borderId="0" xfId="0" applyNumberFormat="1"/>
    <xf numFmtId="2" fontId="0" fillId="0" borderId="0" xfId="0" applyNumberFormat="1"/>
    <xf numFmtId="9" fontId="0" fillId="0" borderId="0" xfId="2" applyFont="1"/>
    <xf numFmtId="171" fontId="0" fillId="0" borderId="0" xfId="0" applyNumberFormat="1"/>
    <xf numFmtId="0" fontId="3" fillId="11" borderId="67" xfId="0" applyFont="1" applyFill="1" applyBorder="1" applyAlignment="1">
      <alignment wrapText="1"/>
    </xf>
    <xf numFmtId="164" fontId="3" fillId="11" borderId="55" xfId="0" applyNumberFormat="1" applyFont="1" applyFill="1" applyBorder="1" applyAlignment="1">
      <alignment vertical="center"/>
    </xf>
    <xf numFmtId="164" fontId="3" fillId="11" borderId="10" xfId="0" applyNumberFormat="1" applyFont="1" applyFill="1" applyBorder="1" applyAlignment="1">
      <alignment vertical="center"/>
    </xf>
    <xf numFmtId="164" fontId="3" fillId="11" borderId="56" xfId="0" applyNumberFormat="1" applyFont="1" applyFill="1" applyBorder="1" applyAlignment="1">
      <alignment vertical="center"/>
    </xf>
    <xf numFmtId="164" fontId="3" fillId="11" borderId="3" xfId="0" applyNumberFormat="1" applyFont="1" applyFill="1" applyBorder="1" applyAlignment="1">
      <alignment vertical="center"/>
    </xf>
    <xf numFmtId="0" fontId="3" fillId="11" borderId="77" xfId="0" applyFont="1" applyFill="1" applyBorder="1" applyAlignment="1">
      <alignment wrapText="1"/>
    </xf>
    <xf numFmtId="0" fontId="3" fillId="11" borderId="4" xfId="0" applyFont="1" applyFill="1" applyBorder="1" applyAlignment="1">
      <alignment wrapText="1"/>
    </xf>
    <xf numFmtId="164" fontId="3" fillId="11" borderId="94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14" fillId="0" borderId="41" xfId="0" applyFont="1" applyFill="1" applyBorder="1" applyAlignment="1">
      <alignment vertical="center"/>
    </xf>
    <xf numFmtId="164" fontId="14" fillId="0" borderId="18" xfId="1" applyNumberFormat="1" applyFont="1" applyFill="1" applyBorder="1" applyAlignment="1">
      <alignment vertical="center"/>
    </xf>
    <xf numFmtId="164" fontId="14" fillId="0" borderId="19" xfId="1" applyNumberFormat="1" applyFont="1" applyFill="1" applyBorder="1" applyAlignment="1">
      <alignment vertical="center"/>
    </xf>
    <xf numFmtId="164" fontId="14" fillId="0" borderId="20" xfId="1" applyNumberFormat="1" applyFont="1" applyFill="1" applyBorder="1" applyAlignment="1">
      <alignment vertical="center"/>
    </xf>
    <xf numFmtId="164" fontId="14" fillId="0" borderId="81" xfId="1" applyNumberFormat="1" applyFont="1" applyFill="1" applyBorder="1" applyAlignment="1">
      <alignment vertical="center"/>
    </xf>
    <xf numFmtId="0" fontId="14" fillId="0" borderId="53" xfId="0" applyFont="1" applyFill="1" applyBorder="1" applyAlignment="1">
      <alignment vertical="center"/>
    </xf>
    <xf numFmtId="164" fontId="14" fillId="0" borderId="22" xfId="1" applyNumberFormat="1" applyFont="1" applyBorder="1"/>
    <xf numFmtId="0" fontId="14" fillId="0" borderId="53" xfId="0" applyFont="1" applyBorder="1"/>
    <xf numFmtId="0" fontId="4" fillId="0" borderId="40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4" fillId="0" borderId="41" xfId="0" applyFont="1" applyBorder="1"/>
    <xf numFmtId="0" fontId="0" fillId="0" borderId="80" xfId="0" applyBorder="1"/>
    <xf numFmtId="0" fontId="0" fillId="0" borderId="26" xfId="0" applyFill="1" applyBorder="1"/>
    <xf numFmtId="0" fontId="0" fillId="0" borderId="61" xfId="0" applyFill="1" applyBorder="1"/>
    <xf numFmtId="0" fontId="14" fillId="0" borderId="2" xfId="0" applyFont="1" applyFill="1" applyBorder="1" applyAlignment="1">
      <alignment wrapText="1"/>
    </xf>
    <xf numFmtId="0" fontId="14" fillId="0" borderId="16" xfId="0" applyFont="1" applyFill="1" applyBorder="1" applyAlignment="1">
      <alignment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14" fillId="0" borderId="61" xfId="0" applyFont="1" applyFill="1" applyBorder="1" applyAlignment="1">
      <alignment horizontal="left" wrapText="1"/>
    </xf>
    <xf numFmtId="164" fontId="14" fillId="0" borderId="21" xfId="0" applyNumberFormat="1" applyFont="1" applyFill="1" applyBorder="1"/>
    <xf numFmtId="164" fontId="14" fillId="0" borderId="23" xfId="0" applyNumberFormat="1" applyFont="1" applyFill="1" applyBorder="1"/>
    <xf numFmtId="164" fontId="3" fillId="11" borderId="72" xfId="0" applyNumberFormat="1" applyFont="1" applyFill="1" applyBorder="1" applyAlignment="1">
      <alignment vertical="center"/>
    </xf>
    <xf numFmtId="164" fontId="3" fillId="11" borderId="59" xfId="0" applyNumberFormat="1" applyFont="1" applyFill="1" applyBorder="1" applyAlignment="1">
      <alignment vertical="center"/>
    </xf>
    <xf numFmtId="164" fontId="14" fillId="0" borderId="78" xfId="0" applyNumberFormat="1" applyFont="1" applyFill="1" applyBorder="1"/>
    <xf numFmtId="164" fontId="3" fillId="11" borderId="33" xfId="0" applyNumberFormat="1" applyFont="1" applyFill="1" applyBorder="1" applyAlignment="1">
      <alignment vertical="center"/>
    </xf>
    <xf numFmtId="0" fontId="14" fillId="0" borderId="40" xfId="0" applyFont="1" applyBorder="1"/>
    <xf numFmtId="0" fontId="14" fillId="0" borderId="7" xfId="0" applyFont="1" applyBorder="1" applyAlignment="1">
      <alignment vertical="center" wrapText="1"/>
    </xf>
    <xf numFmtId="0" fontId="14" fillId="0" borderId="7" xfId="0" applyFont="1" applyBorder="1"/>
    <xf numFmtId="164" fontId="14" fillId="0" borderId="9" xfId="1" applyNumberFormat="1" applyFont="1" applyBorder="1"/>
    <xf numFmtId="164" fontId="14" fillId="0" borderId="9" xfId="1" applyNumberFormat="1" applyFont="1" applyBorder="1" applyAlignment="1">
      <alignment horizontal="left" vertical="center"/>
    </xf>
    <xf numFmtId="0" fontId="4" fillId="0" borderId="76" xfId="0" applyFont="1" applyBorder="1" applyAlignment="1">
      <alignment horizontal="center" vertical="center"/>
    </xf>
    <xf numFmtId="0" fontId="4" fillId="0" borderId="62" xfId="0" applyFont="1" applyBorder="1"/>
    <xf numFmtId="0" fontId="14" fillId="0" borderId="29" xfId="0" applyFont="1" applyBorder="1"/>
    <xf numFmtId="0" fontId="4" fillId="10" borderId="27" xfId="0" applyFont="1" applyFill="1" applyBorder="1" applyAlignment="1">
      <alignment horizontal="center" vertical="center"/>
    </xf>
    <xf numFmtId="0" fontId="4" fillId="10" borderId="29" xfId="0" applyFont="1" applyFill="1" applyBorder="1" applyAlignment="1">
      <alignment horizontal="center" vertical="center"/>
    </xf>
    <xf numFmtId="164" fontId="0" fillId="0" borderId="27" xfId="1" applyNumberFormat="1" applyFont="1" applyBorder="1" applyAlignment="1">
      <alignment vertical="center"/>
    </xf>
    <xf numFmtId="0" fontId="0" fillId="0" borderId="91" xfId="0" applyBorder="1"/>
    <xf numFmtId="0" fontId="0" fillId="4" borderId="80" xfId="0" applyFill="1" applyBorder="1" applyAlignment="1"/>
    <xf numFmtId="0" fontId="0" fillId="0" borderId="33" xfId="0" applyBorder="1" applyAlignment="1"/>
    <xf numFmtId="0" fontId="1" fillId="10" borderId="76" xfId="0" applyFont="1" applyFill="1" applyBorder="1" applyAlignment="1">
      <alignment horizontal="center"/>
    </xf>
    <xf numFmtId="0" fontId="1" fillId="10" borderId="29" xfId="0" applyFont="1" applyFill="1" applyBorder="1" applyAlignment="1">
      <alignment horizontal="center"/>
    </xf>
    <xf numFmtId="0" fontId="1" fillId="10" borderId="19" xfId="0" applyFont="1" applyFill="1" applyBorder="1" applyAlignment="1">
      <alignment horizontal="center" vertical="center"/>
    </xf>
    <xf numFmtId="0" fontId="1" fillId="10" borderId="20" xfId="0" applyFont="1" applyFill="1" applyBorder="1" applyAlignment="1">
      <alignment horizontal="center" vertical="center"/>
    </xf>
    <xf numFmtId="0" fontId="14" fillId="0" borderId="51" xfId="0" applyFont="1" applyBorder="1" applyAlignment="1"/>
    <xf numFmtId="0" fontId="14" fillId="0" borderId="26" xfId="0" applyFont="1" applyBorder="1" applyAlignment="1">
      <alignment horizontal="left"/>
    </xf>
    <xf numFmtId="164" fontId="14" fillId="0" borderId="1" xfId="0" applyNumberFormat="1" applyFont="1" applyBorder="1" applyAlignment="1">
      <alignment horizontal="center" vertical="center"/>
    </xf>
    <xf numFmtId="164" fontId="3" fillId="11" borderId="55" xfId="0" applyNumberFormat="1" applyFont="1" applyFill="1" applyBorder="1" applyAlignment="1">
      <alignment horizontal="center" vertical="center"/>
    </xf>
    <xf numFmtId="0" fontId="0" fillId="0" borderId="25" xfId="0" applyBorder="1"/>
    <xf numFmtId="0" fontId="11" fillId="0" borderId="0" xfId="0" applyFont="1" applyBorder="1" applyAlignment="1"/>
    <xf numFmtId="0" fontId="11" fillId="0" borderId="17" xfId="0" applyFont="1" applyBorder="1" applyAlignment="1">
      <alignment horizontal="center" vertical="center"/>
    </xf>
    <xf numFmtId="164" fontId="12" fillId="0" borderId="1" xfId="1" applyNumberFormat="1" applyFont="1" applyFill="1" applyBorder="1"/>
    <xf numFmtId="0" fontId="0" fillId="4" borderId="1" xfId="0" applyFill="1" applyBorder="1" applyAlignment="1"/>
    <xf numFmtId="0" fontId="0" fillId="0" borderId="1" xfId="0" applyBorder="1" applyAlignment="1"/>
    <xf numFmtId="0" fontId="4" fillId="10" borderId="72" xfId="0" applyFont="1" applyFill="1" applyBorder="1" applyAlignment="1">
      <alignment horizontal="center" vertical="center"/>
    </xf>
    <xf numFmtId="164" fontId="14" fillId="0" borderId="18" xfId="1" applyNumberFormat="1" applyFont="1" applyFill="1" applyBorder="1"/>
    <xf numFmtId="164" fontId="14" fillId="0" borderId="19" xfId="1" applyNumberFormat="1" applyFont="1" applyFill="1" applyBorder="1" applyAlignment="1">
      <alignment horizontal="center"/>
    </xf>
    <xf numFmtId="164" fontId="14" fillId="0" borderId="20" xfId="1" applyNumberFormat="1" applyFont="1" applyFill="1" applyBorder="1" applyAlignment="1"/>
    <xf numFmtId="164" fontId="3" fillId="11" borderId="64" xfId="0" applyNumberFormat="1" applyFont="1" applyFill="1" applyBorder="1" applyAlignment="1">
      <alignment horizontal="center" vertical="center"/>
    </xf>
    <xf numFmtId="164" fontId="3" fillId="11" borderId="11" xfId="0" applyNumberFormat="1" applyFont="1" applyFill="1" applyBorder="1" applyAlignment="1">
      <alignment horizontal="center" vertical="center"/>
    </xf>
    <xf numFmtId="164" fontId="3" fillId="11" borderId="65" xfId="0" applyNumberFormat="1" applyFont="1" applyFill="1" applyBorder="1" applyAlignment="1">
      <alignment horizontal="center" vertical="center"/>
    </xf>
    <xf numFmtId="164" fontId="3" fillId="11" borderId="80" xfId="0" applyNumberFormat="1" applyFont="1" applyFill="1" applyBorder="1" applyAlignment="1">
      <alignment horizontal="center" vertical="center"/>
    </xf>
    <xf numFmtId="164" fontId="3" fillId="11" borderId="3" xfId="0" applyNumberFormat="1" applyFont="1" applyFill="1" applyBorder="1" applyAlignment="1">
      <alignment horizontal="center" vertical="center"/>
    </xf>
    <xf numFmtId="0" fontId="21" fillId="0" borderId="92" xfId="0" applyFont="1" applyFill="1" applyBorder="1" applyAlignment="1">
      <alignment horizontal="center" vertical="center"/>
    </xf>
    <xf numFmtId="164" fontId="0" fillId="0" borderId="44" xfId="1" applyNumberFormat="1" applyFont="1" applyBorder="1" applyAlignment="1">
      <alignment vertical="center"/>
    </xf>
    <xf numFmtId="0" fontId="4" fillId="10" borderId="43" xfId="0" applyFont="1" applyFill="1" applyBorder="1" applyAlignment="1">
      <alignment horizontal="center" vertical="center"/>
    </xf>
    <xf numFmtId="164" fontId="0" fillId="4" borderId="8" xfId="1" applyNumberFormat="1" applyFont="1" applyFill="1" applyBorder="1"/>
    <xf numFmtId="0" fontId="4" fillId="0" borderId="47" xfId="0" applyFont="1" applyFill="1" applyBorder="1" applyAlignment="1">
      <alignment horizontal="center" vertical="center"/>
    </xf>
    <xf numFmtId="0" fontId="0" fillId="0" borderId="49" xfId="0" applyBorder="1"/>
    <xf numFmtId="42" fontId="14" fillId="0" borderId="5" xfId="0" applyNumberFormat="1" applyFont="1" applyBorder="1"/>
    <xf numFmtId="0" fontId="11" fillId="0" borderId="56" xfId="0" applyFont="1" applyBorder="1"/>
    <xf numFmtId="0" fontId="3" fillId="14" borderId="36" xfId="0" applyFont="1" applyFill="1" applyBorder="1"/>
    <xf numFmtId="42" fontId="3" fillId="14" borderId="28" xfId="0" applyNumberFormat="1" applyFont="1" applyFill="1" applyBorder="1"/>
    <xf numFmtId="0" fontId="11" fillId="0" borderId="77" xfId="0" applyFont="1" applyBorder="1"/>
    <xf numFmtId="0" fontId="11" fillId="0" borderId="5" xfId="0" applyFont="1" applyBorder="1" applyAlignment="1">
      <alignment horizontal="left"/>
    </xf>
    <xf numFmtId="1" fontId="3" fillId="14" borderId="39" xfId="0" applyNumberFormat="1" applyFont="1" applyFill="1" applyBorder="1" applyAlignment="1">
      <alignment horizontal="left"/>
    </xf>
    <xf numFmtId="1" fontId="22" fillId="14" borderId="95" xfId="0" applyNumberFormat="1" applyFont="1" applyFill="1" applyBorder="1" applyAlignment="1">
      <alignment horizontal="left"/>
    </xf>
    <xf numFmtId="1" fontId="11" fillId="0" borderId="77" xfId="0" applyNumberFormat="1" applyFont="1" applyBorder="1" applyAlignment="1">
      <alignment horizontal="left"/>
    </xf>
    <xf numFmtId="1" fontId="11" fillId="0" borderId="5" xfId="0" applyNumberFormat="1" applyFont="1" applyBorder="1" applyAlignment="1">
      <alignment horizontal="left"/>
    </xf>
    <xf numFmtId="1" fontId="22" fillId="14" borderId="38" xfId="0" applyNumberFormat="1" applyFont="1" applyFill="1" applyBorder="1" applyAlignment="1">
      <alignment horizontal="left"/>
    </xf>
    <xf numFmtId="9" fontId="0" fillId="0" borderId="1" xfId="2" applyFont="1" applyFill="1" applyBorder="1"/>
    <xf numFmtId="2" fontId="0" fillId="0" borderId="1" xfId="0" applyNumberFormat="1" applyFill="1" applyBorder="1"/>
    <xf numFmtId="168" fontId="27" fillId="0" borderId="0" xfId="3" applyNumberFormat="1" applyFont="1" applyFill="1" applyBorder="1" applyAlignment="1">
      <alignment horizontal="right" vertical="justify" wrapText="1"/>
    </xf>
    <xf numFmtId="168" fontId="25" fillId="0" borderId="0" xfId="3" applyNumberFormat="1" applyFont="1" applyFill="1" applyBorder="1" applyAlignment="1">
      <alignment vertical="center"/>
    </xf>
    <xf numFmtId="0" fontId="14" fillId="8" borderId="20" xfId="0" applyFont="1" applyFill="1" applyBorder="1" applyAlignment="1">
      <alignment horizontal="center" vertical="center"/>
    </xf>
    <xf numFmtId="0" fontId="14" fillId="8" borderId="22" xfId="0" applyFont="1" applyFill="1" applyBorder="1" applyAlignment="1">
      <alignment horizontal="center" vertical="center"/>
    </xf>
    <xf numFmtId="0" fontId="0" fillId="4" borderId="8" xfId="0" applyFill="1" applyBorder="1" applyAlignment="1"/>
    <xf numFmtId="164" fontId="12" fillId="0" borderId="1" xfId="0" applyNumberFormat="1" applyFont="1" applyFill="1" applyBorder="1"/>
    <xf numFmtId="164" fontId="23" fillId="0" borderId="1" xfId="1" applyNumberFormat="1" applyFont="1" applyFill="1" applyBorder="1"/>
    <xf numFmtId="164" fontId="11" fillId="0" borderId="1" xfId="1" applyNumberFormat="1" applyFont="1" applyFill="1" applyBorder="1"/>
    <xf numFmtId="0" fontId="10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left"/>
    </xf>
    <xf numFmtId="0" fontId="11" fillId="0" borderId="36" xfId="0" applyFont="1" applyFill="1" applyBorder="1" applyAlignment="1">
      <alignment horizontal="center"/>
    </xf>
    <xf numFmtId="164" fontId="14" fillId="0" borderId="18" xfId="1" applyNumberFormat="1" applyFont="1" applyBorder="1"/>
    <xf numFmtId="164" fontId="14" fillId="0" borderId="19" xfId="1" applyNumberFormat="1" applyFont="1" applyBorder="1"/>
    <xf numFmtId="0" fontId="11" fillId="0" borderId="44" xfId="0" applyFont="1" applyBorder="1" applyAlignment="1">
      <alignment horizontal="center"/>
    </xf>
    <xf numFmtId="164" fontId="14" fillId="0" borderId="43" xfId="1" applyNumberFormat="1" applyFont="1" applyBorder="1"/>
    <xf numFmtId="164" fontId="14" fillId="0" borderId="8" xfId="1" applyNumberFormat="1" applyFont="1" applyBorder="1" applyAlignment="1">
      <alignment vertical="center"/>
    </xf>
    <xf numFmtId="164" fontId="3" fillId="11" borderId="44" xfId="0" applyNumberFormat="1" applyFont="1" applyFill="1" applyBorder="1" applyAlignment="1">
      <alignment vertical="center"/>
    </xf>
    <xf numFmtId="164" fontId="14" fillId="0" borderId="93" xfId="1" applyNumberFormat="1" applyFont="1" applyBorder="1"/>
    <xf numFmtId="164" fontId="14" fillId="0" borderId="78" xfId="1" applyNumberFormat="1" applyFont="1" applyBorder="1"/>
    <xf numFmtId="164" fontId="14" fillId="0" borderId="20" xfId="1" applyNumberFormat="1" applyFont="1" applyBorder="1"/>
    <xf numFmtId="164" fontId="14" fillId="0" borderId="40" xfId="1" applyNumberFormat="1" applyFont="1" applyFill="1" applyBorder="1"/>
    <xf numFmtId="164" fontId="14" fillId="0" borderId="51" xfId="1" applyNumberFormat="1" applyFont="1" applyFill="1" applyBorder="1"/>
    <xf numFmtId="164" fontId="14" fillId="0" borderId="7" xfId="1" applyNumberFormat="1" applyFont="1" applyFill="1" applyBorder="1"/>
    <xf numFmtId="164" fontId="14" fillId="0" borderId="53" xfId="1" applyNumberFormat="1" applyFont="1" applyFill="1" applyBorder="1"/>
    <xf numFmtId="164" fontId="14" fillId="0" borderId="16" xfId="1" applyNumberFormat="1" applyFont="1" applyFill="1" applyBorder="1"/>
    <xf numFmtId="164" fontId="3" fillId="11" borderId="64" xfId="0" applyNumberFormat="1" applyFont="1" applyFill="1" applyBorder="1" applyAlignment="1">
      <alignment vertical="center"/>
    </xf>
    <xf numFmtId="164" fontId="3" fillId="11" borderId="11" xfId="0" applyNumberFormat="1" applyFont="1" applyFill="1" applyBorder="1" applyAlignment="1">
      <alignment vertical="center"/>
    </xf>
    <xf numFmtId="164" fontId="3" fillId="11" borderId="65" xfId="0" applyNumberFormat="1" applyFont="1" applyFill="1" applyBorder="1" applyAlignment="1">
      <alignment vertical="center"/>
    </xf>
    <xf numFmtId="164" fontId="14" fillId="0" borderId="41" xfId="1" applyNumberFormat="1" applyFont="1" applyFill="1" applyBorder="1"/>
    <xf numFmtId="164" fontId="14" fillId="0" borderId="26" xfId="1" applyNumberFormat="1" applyFont="1" applyFill="1" applyBorder="1"/>
    <xf numFmtId="164" fontId="14" fillId="0" borderId="24" xfId="1" applyNumberFormat="1" applyFont="1" applyFill="1" applyBorder="1"/>
    <xf numFmtId="164" fontId="14" fillId="0" borderId="50" xfId="1" applyNumberFormat="1" applyFont="1" applyFill="1" applyBorder="1"/>
    <xf numFmtId="164" fontId="14" fillId="0" borderId="51" xfId="1" applyNumberFormat="1" applyFont="1" applyFill="1" applyBorder="1" applyAlignment="1">
      <alignment horizontal="center" vertical="center"/>
    </xf>
    <xf numFmtId="164" fontId="14" fillId="0" borderId="16" xfId="1" applyNumberFormat="1" applyFont="1" applyFill="1" applyBorder="1" applyAlignment="1">
      <alignment horizontal="center" vertical="center"/>
    </xf>
    <xf numFmtId="164" fontId="14" fillId="0" borderId="19" xfId="1" applyNumberFormat="1" applyFont="1" applyFill="1" applyBorder="1" applyAlignment="1">
      <alignment horizontal="center" vertical="center"/>
    </xf>
    <xf numFmtId="164" fontId="14" fillId="0" borderId="20" xfId="1" applyNumberFormat="1" applyFont="1" applyFill="1" applyBorder="1" applyAlignment="1">
      <alignment horizontal="center" vertical="center"/>
    </xf>
    <xf numFmtId="0" fontId="3" fillId="11" borderId="67" xfId="0" applyFont="1" applyFill="1" applyBorder="1" applyAlignment="1">
      <alignment vertical="center" wrapText="1"/>
    </xf>
    <xf numFmtId="164" fontId="14" fillId="0" borderId="64" xfId="1" applyNumberFormat="1" applyFont="1" applyFill="1" applyBorder="1" applyAlignment="1">
      <alignment vertical="center"/>
    </xf>
    <xf numFmtId="0" fontId="0" fillId="0" borderId="76" xfId="0" applyBorder="1"/>
    <xf numFmtId="0" fontId="0" fillId="0" borderId="62" xfId="0" applyBorder="1"/>
    <xf numFmtId="0" fontId="0" fillId="0" borderId="63" xfId="0" applyBorder="1"/>
    <xf numFmtId="164" fontId="11" fillId="0" borderId="76" xfId="1" applyNumberFormat="1" applyFont="1" applyBorder="1" applyAlignment="1">
      <alignment horizontal="center" vertical="center"/>
    </xf>
    <xf numFmtId="164" fontId="11" fillId="0" borderId="19" xfId="1" applyNumberFormat="1" applyFont="1" applyBorder="1" applyAlignment="1">
      <alignment horizontal="center" vertical="center"/>
    </xf>
    <xf numFmtId="164" fontId="11" fillId="0" borderId="29" xfId="1" applyNumberFormat="1" applyFont="1" applyBorder="1" applyAlignment="1">
      <alignment horizontal="center" vertical="center"/>
    </xf>
    <xf numFmtId="164" fontId="11" fillId="0" borderId="18" xfId="1" applyNumberFormat="1" applyFont="1" applyBorder="1" applyAlignment="1">
      <alignment horizontal="center" vertical="center"/>
    </xf>
    <xf numFmtId="0" fontId="14" fillId="0" borderId="16" xfId="0" applyFont="1" applyFill="1" applyBorder="1" applyAlignment="1">
      <alignment horizontal="left" wrapText="1"/>
    </xf>
    <xf numFmtId="164" fontId="14" fillId="0" borderId="52" xfId="1" applyNumberFormat="1" applyFont="1" applyFill="1" applyBorder="1" applyAlignment="1">
      <alignment vertical="center"/>
    </xf>
    <xf numFmtId="164" fontId="14" fillId="0" borderId="51" xfId="1" applyNumberFormat="1" applyFont="1" applyFill="1" applyBorder="1" applyAlignment="1">
      <alignment vertical="center"/>
    </xf>
    <xf numFmtId="164" fontId="14" fillId="0" borderId="15" xfId="1" applyNumberFormat="1" applyFont="1" applyFill="1" applyBorder="1" applyAlignment="1">
      <alignment vertical="center"/>
    </xf>
    <xf numFmtId="164" fontId="14" fillId="0" borderId="9" xfId="1" applyNumberFormat="1" applyFont="1" applyFill="1" applyBorder="1" applyAlignment="1">
      <alignment vertical="center"/>
    </xf>
    <xf numFmtId="164" fontId="14" fillId="0" borderId="10" xfId="1" applyNumberFormat="1" applyFont="1" applyFill="1" applyBorder="1" applyAlignment="1">
      <alignment vertical="center"/>
    </xf>
    <xf numFmtId="164" fontId="14" fillId="0" borderId="55" xfId="1" applyNumberFormat="1" applyFont="1" applyFill="1" applyBorder="1" applyAlignment="1">
      <alignment vertical="center"/>
    </xf>
    <xf numFmtId="164" fontId="14" fillId="0" borderId="51" xfId="0" applyNumberFormat="1" applyFont="1" applyFill="1" applyBorder="1" applyAlignment="1">
      <alignment vertical="center"/>
    </xf>
    <xf numFmtId="164" fontId="14" fillId="0" borderId="51" xfId="0" applyNumberFormat="1" applyFont="1" applyFill="1" applyBorder="1"/>
    <xf numFmtId="164" fontId="14" fillId="0" borderId="26" xfId="0" applyNumberFormat="1" applyFont="1" applyFill="1" applyBorder="1"/>
    <xf numFmtId="164" fontId="14" fillId="0" borderId="53" xfId="0" applyNumberFormat="1" applyFont="1" applyFill="1" applyBorder="1"/>
    <xf numFmtId="164" fontId="14" fillId="0" borderId="9" xfId="0" applyNumberFormat="1" applyFont="1" applyFill="1" applyBorder="1"/>
    <xf numFmtId="164" fontId="11" fillId="0" borderId="63" xfId="1" applyNumberFormat="1" applyFont="1" applyBorder="1" applyAlignment="1">
      <alignment horizontal="center" vertical="center"/>
    </xf>
    <xf numFmtId="164" fontId="14" fillId="0" borderId="54" xfId="1" applyNumberFormat="1" applyFont="1" applyFill="1" applyBorder="1" applyAlignment="1">
      <alignment vertical="center"/>
    </xf>
    <xf numFmtId="164" fontId="14" fillId="0" borderId="53" xfId="1" applyNumberFormat="1" applyFont="1" applyFill="1" applyBorder="1" applyAlignment="1">
      <alignment vertical="center"/>
    </xf>
    <xf numFmtId="164" fontId="14" fillId="0" borderId="16" xfId="1" applyNumberFormat="1" applyFont="1" applyFill="1" applyBorder="1" applyAlignment="1">
      <alignment vertical="center"/>
    </xf>
    <xf numFmtId="164" fontId="14" fillId="0" borderId="61" xfId="0" applyNumberFormat="1" applyFont="1" applyFill="1" applyBorder="1"/>
    <xf numFmtId="164" fontId="14" fillId="0" borderId="50" xfId="0" applyNumberFormat="1" applyFont="1" applyFill="1" applyBorder="1"/>
    <xf numFmtId="172" fontId="0" fillId="0" borderId="1" xfId="1" applyNumberFormat="1" applyFont="1" applyBorder="1" applyAlignment="1">
      <alignment vertical="center"/>
    </xf>
    <xf numFmtId="39" fontId="0" fillId="0" borderId="1" xfId="0" applyNumberFormat="1" applyBorder="1"/>
    <xf numFmtId="0" fontId="0" fillId="10" borderId="76" xfId="0" applyFill="1" applyBorder="1" applyAlignment="1">
      <alignment horizontal="left"/>
    </xf>
    <xf numFmtId="0" fontId="0" fillId="10" borderId="29" xfId="0" applyFill="1" applyBorder="1"/>
    <xf numFmtId="165" fontId="0" fillId="10" borderId="19" xfId="0" applyNumberFormat="1" applyFill="1" applyBorder="1"/>
    <xf numFmtId="0" fontId="0" fillId="10" borderId="20" xfId="0" applyFill="1" applyBorder="1"/>
    <xf numFmtId="0" fontId="0" fillId="0" borderId="51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/>
    <xf numFmtId="42" fontId="3" fillId="14" borderId="39" xfId="0" applyNumberFormat="1" applyFont="1" applyFill="1" applyBorder="1"/>
    <xf numFmtId="42" fontId="3" fillId="14" borderId="38" xfId="0" applyNumberFormat="1" applyFont="1" applyFill="1" applyBorder="1"/>
    <xf numFmtId="14" fontId="14" fillId="8" borderId="56" xfId="0" applyNumberFormat="1" applyFont="1" applyFill="1" applyBorder="1" applyAlignment="1">
      <alignment horizontal="center" vertical="center"/>
    </xf>
    <xf numFmtId="0" fontId="11" fillId="0" borderId="52" xfId="0" applyFont="1" applyBorder="1" applyAlignment="1"/>
    <xf numFmtId="0" fontId="11" fillId="0" borderId="54" xfId="0" applyFont="1" applyBorder="1" applyAlignment="1"/>
    <xf numFmtId="164" fontId="3" fillId="14" borderId="39" xfId="0" applyNumberFormat="1" applyFont="1" applyFill="1" applyBorder="1" applyAlignment="1">
      <alignment vertical="center"/>
    </xf>
    <xf numFmtId="1" fontId="11" fillId="0" borderId="52" xfId="0" applyNumberFormat="1" applyFont="1" applyBorder="1" applyAlignment="1">
      <alignment horizontal="left"/>
    </xf>
    <xf numFmtId="1" fontId="11" fillId="0" borderId="0" xfId="0" applyNumberFormat="1" applyFont="1" applyBorder="1" applyAlignment="1">
      <alignment horizontal="left"/>
    </xf>
    <xf numFmtId="42" fontId="14" fillId="0" borderId="0" xfId="0" applyNumberFormat="1" applyFont="1" applyBorder="1"/>
    <xf numFmtId="0" fontId="11" fillId="0" borderId="65" xfId="0" applyFont="1" applyBorder="1"/>
    <xf numFmtId="0" fontId="11" fillId="0" borderId="52" xfId="0" applyFont="1" applyBorder="1"/>
    <xf numFmtId="0" fontId="11" fillId="0" borderId="15" xfId="0" applyFont="1" applyBorder="1" applyAlignment="1">
      <alignment horizontal="left"/>
    </xf>
    <xf numFmtId="0" fontId="11" fillId="0" borderId="54" xfId="0" applyFont="1" applyBorder="1"/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10" borderId="1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22" xfId="0" applyFont="1" applyBorder="1" applyAlignment="1">
      <alignment horizontal="left"/>
    </xf>
    <xf numFmtId="0" fontId="0" fillId="0" borderId="22" xfId="0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left"/>
    </xf>
    <xf numFmtId="164" fontId="14" fillId="5" borderId="8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14" fillId="0" borderId="8" xfId="0" applyNumberFormat="1" applyFont="1" applyBorder="1" applyAlignment="1">
      <alignment horizontal="center"/>
    </xf>
    <xf numFmtId="164" fontId="14" fillId="0" borderId="8" xfId="0" applyNumberFormat="1" applyFont="1" applyFill="1" applyBorder="1" applyAlignment="1">
      <alignment horizontal="center"/>
    </xf>
    <xf numFmtId="164" fontId="14" fillId="0" borderId="6" xfId="0" applyNumberFormat="1" applyFont="1" applyBorder="1" applyAlignment="1"/>
    <xf numFmtId="0" fontId="14" fillId="13" borderId="22" xfId="0" applyFont="1" applyFill="1" applyBorder="1" applyAlignment="1">
      <alignment horizontal="center"/>
    </xf>
    <xf numFmtId="0" fontId="4" fillId="0" borderId="21" xfId="0" applyFont="1" applyBorder="1" applyAlignment="1"/>
    <xf numFmtId="164" fontId="4" fillId="13" borderId="22" xfId="0" applyNumberFormat="1" applyFont="1" applyFill="1" applyBorder="1"/>
    <xf numFmtId="44" fontId="14" fillId="13" borderId="22" xfId="0" applyNumberFormat="1" applyFont="1" applyFill="1" applyBorder="1"/>
    <xf numFmtId="0" fontId="14" fillId="0" borderId="22" xfId="0" applyFont="1" applyBorder="1"/>
    <xf numFmtId="164" fontId="14" fillId="13" borderId="22" xfId="0" applyNumberFormat="1" applyFont="1" applyFill="1" applyBorder="1"/>
    <xf numFmtId="164" fontId="14" fillId="0" borderId="84" xfId="0" applyNumberFormat="1" applyFont="1" applyBorder="1"/>
    <xf numFmtId="164" fontId="14" fillId="0" borderId="60" xfId="0" applyNumberFormat="1" applyFont="1" applyBorder="1" applyAlignment="1"/>
    <xf numFmtId="164" fontId="14" fillId="5" borderId="22" xfId="0" applyNumberFormat="1" applyFont="1" applyFill="1" applyBorder="1" applyAlignment="1">
      <alignment horizontal="center"/>
    </xf>
    <xf numFmtId="164" fontId="4" fillId="0" borderId="22" xfId="0" applyNumberFormat="1" applyFont="1" applyFill="1" applyBorder="1" applyAlignment="1">
      <alignment horizontal="center"/>
    </xf>
    <xf numFmtId="164" fontId="14" fillId="0" borderId="22" xfId="0" applyNumberFormat="1" applyFont="1" applyBorder="1" applyAlignment="1">
      <alignment horizontal="center"/>
    </xf>
    <xf numFmtId="164" fontId="3" fillId="14" borderId="17" xfId="0" applyNumberFormat="1" applyFont="1" applyFill="1" applyBorder="1" applyAlignment="1">
      <alignment vertical="center"/>
    </xf>
    <xf numFmtId="164" fontId="14" fillId="0" borderId="96" xfId="0" applyNumberFormat="1" applyFont="1" applyBorder="1"/>
    <xf numFmtId="164" fontId="14" fillId="0" borderId="97" xfId="0" applyNumberFormat="1" applyFont="1" applyBorder="1"/>
    <xf numFmtId="0" fontId="4" fillId="0" borderId="22" xfId="0" applyFont="1" applyFill="1" applyBorder="1" applyAlignment="1"/>
    <xf numFmtId="164" fontId="14" fillId="0" borderId="14" xfId="0" applyNumberFormat="1" applyFont="1" applyBorder="1" applyAlignment="1"/>
    <xf numFmtId="164" fontId="14" fillId="0" borderId="65" xfId="0" applyNumberFormat="1" applyFont="1" applyBorder="1" applyAlignment="1"/>
    <xf numFmtId="0" fontId="0" fillId="0" borderId="60" xfId="0" applyBorder="1" applyAlignment="1">
      <alignment horizontal="center"/>
    </xf>
    <xf numFmtId="164" fontId="14" fillId="3" borderId="37" xfId="0" applyNumberFormat="1" applyFont="1" applyFill="1" applyBorder="1" applyAlignment="1">
      <alignment horizontal="center"/>
    </xf>
    <xf numFmtId="164" fontId="14" fillId="3" borderId="36" xfId="0" applyNumberFormat="1" applyFont="1" applyFill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164" fontId="14" fillId="0" borderId="56" xfId="0" applyNumberFormat="1" applyFont="1" applyBorder="1" applyAlignment="1">
      <alignment horizontal="center"/>
    </xf>
    <xf numFmtId="164" fontId="3" fillId="14" borderId="35" xfId="0" applyNumberFormat="1" applyFont="1" applyFill="1" applyBorder="1" applyAlignment="1">
      <alignment vertical="center"/>
    </xf>
    <xf numFmtId="164" fontId="3" fillId="14" borderId="36" xfId="0" applyNumberFormat="1" applyFont="1" applyFill="1" applyBorder="1" applyAlignment="1">
      <alignment horizontal="center" vertical="center"/>
    </xf>
    <xf numFmtId="0" fontId="3" fillId="17" borderId="38" xfId="0" applyFont="1" applyFill="1" applyBorder="1"/>
    <xf numFmtId="0" fontId="3" fillId="17" borderId="28" xfId="0" applyFont="1" applyFill="1" applyBorder="1"/>
    <xf numFmtId="0" fontId="28" fillId="18" borderId="48" xfId="0" applyFont="1" applyFill="1" applyBorder="1" applyAlignment="1">
      <alignment vertical="center"/>
    </xf>
    <xf numFmtId="0" fontId="28" fillId="18" borderId="49" xfId="0" applyFont="1" applyFill="1" applyBorder="1" applyAlignment="1">
      <alignment vertical="center"/>
    </xf>
    <xf numFmtId="0" fontId="28" fillId="18" borderId="0" xfId="0" applyFont="1" applyFill="1" applyBorder="1" applyAlignment="1">
      <alignment vertical="center"/>
    </xf>
    <xf numFmtId="0" fontId="28" fillId="18" borderId="54" xfId="0" applyFont="1" applyFill="1" applyBorder="1" applyAlignment="1">
      <alignment vertical="center"/>
    </xf>
    <xf numFmtId="0" fontId="0" fillId="18" borderId="42" xfId="0" applyFill="1" applyBorder="1"/>
    <xf numFmtId="0" fontId="0" fillId="18" borderId="32" xfId="0" applyFill="1" applyBorder="1"/>
    <xf numFmtId="0" fontId="28" fillId="7" borderId="48" xfId="0" applyFont="1" applyFill="1" applyBorder="1" applyAlignment="1">
      <alignment vertical="center"/>
    </xf>
    <xf numFmtId="0" fontId="28" fillId="7" borderId="49" xfId="0" applyFont="1" applyFill="1" applyBorder="1" applyAlignment="1">
      <alignment vertical="center"/>
    </xf>
    <xf numFmtId="0" fontId="28" fillId="7" borderId="0" xfId="0" applyFont="1" applyFill="1" applyBorder="1" applyAlignment="1">
      <alignment vertical="center"/>
    </xf>
    <xf numFmtId="0" fontId="28" fillId="7" borderId="54" xfId="0" applyFont="1" applyFill="1" applyBorder="1" applyAlignment="1">
      <alignment vertical="center"/>
    </xf>
    <xf numFmtId="0" fontId="0" fillId="7" borderId="42" xfId="0" applyFill="1" applyBorder="1"/>
    <xf numFmtId="0" fontId="0" fillId="7" borderId="32" xfId="0" applyFill="1" applyBorder="1"/>
    <xf numFmtId="0" fontId="28" fillId="19" borderId="48" xfId="0" applyFont="1" applyFill="1" applyBorder="1" applyAlignment="1">
      <alignment vertical="center"/>
    </xf>
    <xf numFmtId="0" fontId="28" fillId="19" borderId="49" xfId="0" applyFont="1" applyFill="1" applyBorder="1" applyAlignment="1">
      <alignment vertical="center"/>
    </xf>
    <xf numFmtId="0" fontId="28" fillId="19" borderId="0" xfId="0" applyFont="1" applyFill="1" applyBorder="1" applyAlignment="1">
      <alignment vertical="center"/>
    </xf>
    <xf numFmtId="0" fontId="28" fillId="19" borderId="54" xfId="0" applyFont="1" applyFill="1" applyBorder="1" applyAlignment="1">
      <alignment vertical="center"/>
    </xf>
    <xf numFmtId="0" fontId="0" fillId="19" borderId="42" xfId="0" applyFill="1" applyBorder="1"/>
    <xf numFmtId="0" fontId="0" fillId="19" borderId="32" xfId="0" applyFill="1" applyBorder="1"/>
    <xf numFmtId="0" fontId="28" fillId="20" borderId="48" xfId="0" applyFont="1" applyFill="1" applyBorder="1" applyAlignment="1">
      <alignment vertical="center"/>
    </xf>
    <xf numFmtId="0" fontId="28" fillId="20" borderId="49" xfId="0" applyFont="1" applyFill="1" applyBorder="1" applyAlignment="1">
      <alignment vertical="center"/>
    </xf>
    <xf numFmtId="0" fontId="28" fillId="20" borderId="0" xfId="0" applyFont="1" applyFill="1" applyBorder="1" applyAlignment="1">
      <alignment vertical="center"/>
    </xf>
    <xf numFmtId="0" fontId="28" fillId="20" borderId="54" xfId="0" applyFont="1" applyFill="1" applyBorder="1" applyAlignment="1">
      <alignment vertical="center"/>
    </xf>
    <xf numFmtId="0" fontId="0" fillId="20" borderId="42" xfId="0" applyFill="1" applyBorder="1"/>
    <xf numFmtId="0" fontId="0" fillId="20" borderId="32" xfId="0" applyFill="1" applyBorder="1"/>
    <xf numFmtId="0" fontId="14" fillId="0" borderId="51" xfId="0" applyFont="1" applyFill="1" applyBorder="1" applyAlignment="1">
      <alignment horizontal="left"/>
    </xf>
    <xf numFmtId="0" fontId="0" fillId="0" borderId="40" xfId="0" applyBorder="1" applyAlignment="1">
      <alignment horizontal="center"/>
    </xf>
    <xf numFmtId="0" fontId="14" fillId="0" borderId="77" xfId="0" applyFont="1" applyBorder="1"/>
    <xf numFmtId="0" fontId="14" fillId="0" borderId="4" xfId="0" applyFont="1" applyBorder="1"/>
    <xf numFmtId="0" fontId="14" fillId="0" borderId="5" xfId="0" applyFont="1" applyBorder="1"/>
    <xf numFmtId="164" fontId="14" fillId="0" borderId="10" xfId="1" applyNumberFormat="1" applyFont="1" applyBorder="1" applyAlignment="1">
      <alignment horizontal="center"/>
    </xf>
    <xf numFmtId="164" fontId="14" fillId="0" borderId="10" xfId="1" applyNumberFormat="1" applyFont="1" applyBorder="1"/>
    <xf numFmtId="0" fontId="14" fillId="0" borderId="10" xfId="0" applyFont="1" applyBorder="1" applyAlignment="1">
      <alignment horizontal="left"/>
    </xf>
    <xf numFmtId="0" fontId="14" fillId="0" borderId="56" xfId="0" applyFont="1" applyBorder="1" applyAlignment="1">
      <alignment horizontal="left"/>
    </xf>
    <xf numFmtId="5" fontId="14" fillId="0" borderId="1" xfId="1" applyNumberFormat="1" applyFont="1" applyFill="1" applyBorder="1"/>
    <xf numFmtId="164" fontId="14" fillId="15" borderId="1" xfId="0" applyNumberFormat="1" applyFont="1" applyFill="1" applyBorder="1"/>
    <xf numFmtId="0" fontId="14" fillId="13" borderId="19" xfId="0" applyFont="1" applyFill="1" applyBorder="1" applyAlignment="1">
      <alignment horizontal="center"/>
    </xf>
    <xf numFmtId="0" fontId="14" fillId="13" borderId="20" xfId="0" applyFont="1" applyFill="1" applyBorder="1" applyAlignment="1">
      <alignment horizontal="center"/>
    </xf>
    <xf numFmtId="164" fontId="14" fillId="15" borderId="22" xfId="0" applyNumberFormat="1" applyFont="1" applyFill="1" applyBorder="1"/>
    <xf numFmtId="0" fontId="0" fillId="0" borderId="44" xfId="0" applyBorder="1" applyAlignment="1">
      <alignment horizontal="center"/>
    </xf>
    <xf numFmtId="164" fontId="14" fillId="0" borderId="44" xfId="0" applyNumberFormat="1" applyFont="1" applyBorder="1" applyAlignment="1">
      <alignment horizontal="center"/>
    </xf>
    <xf numFmtId="164" fontId="14" fillId="0" borderId="25" xfId="0" applyNumberFormat="1" applyFont="1" applyBorder="1" applyAlignment="1">
      <alignment horizontal="center"/>
    </xf>
    <xf numFmtId="164" fontId="4" fillId="0" borderId="8" xfId="0" applyNumberFormat="1" applyFont="1" applyFill="1" applyBorder="1" applyAlignment="1"/>
    <xf numFmtId="164" fontId="4" fillId="0" borderId="22" xfId="0" applyNumberFormat="1" applyFont="1" applyFill="1" applyBorder="1" applyAlignment="1"/>
    <xf numFmtId="0" fontId="42" fillId="16" borderId="3" xfId="0" applyFont="1" applyFill="1" applyBorder="1" applyAlignment="1">
      <alignment vertical="center"/>
    </xf>
    <xf numFmtId="0" fontId="42" fillId="16" borderId="67" xfId="0" applyFont="1" applyFill="1" applyBorder="1" applyAlignment="1">
      <alignment vertical="center"/>
    </xf>
    <xf numFmtId="0" fontId="42" fillId="16" borderId="68" xfId="0" applyFont="1" applyFill="1" applyBorder="1" applyAlignment="1">
      <alignment vertical="center"/>
    </xf>
    <xf numFmtId="0" fontId="42" fillId="16" borderId="32" xfId="0" applyFont="1" applyFill="1" applyBorder="1" applyAlignment="1">
      <alignment vertical="center"/>
    </xf>
    <xf numFmtId="164" fontId="14" fillId="0" borderId="8" xfId="0" applyNumberFormat="1" applyFont="1" applyBorder="1" applyAlignment="1"/>
    <xf numFmtId="164" fontId="14" fillId="0" borderId="22" xfId="0" applyNumberFormat="1" applyFont="1" applyBorder="1" applyAlignment="1"/>
    <xf numFmtId="164" fontId="4" fillId="0" borderId="8" xfId="1" applyNumberFormat="1" applyFont="1" applyFill="1" applyBorder="1" applyAlignment="1"/>
    <xf numFmtId="164" fontId="4" fillId="0" borderId="22" xfId="1" applyNumberFormat="1" applyFont="1" applyFill="1" applyBorder="1" applyAlignment="1"/>
    <xf numFmtId="164" fontId="14" fillId="0" borderId="99" xfId="0" applyNumberFormat="1" applyFont="1" applyBorder="1"/>
    <xf numFmtId="164" fontId="14" fillId="0" borderId="100" xfId="0" applyNumberFormat="1" applyFont="1" applyBorder="1"/>
    <xf numFmtId="164" fontId="3" fillId="14" borderId="34" xfId="0" applyNumberFormat="1" applyFont="1" applyFill="1" applyBorder="1" applyAlignment="1">
      <alignment vertical="center"/>
    </xf>
    <xf numFmtId="164" fontId="3" fillId="14" borderId="95" xfId="0" applyNumberFormat="1" applyFont="1" applyFill="1" applyBorder="1" applyAlignment="1">
      <alignment vertical="center"/>
    </xf>
    <xf numFmtId="164" fontId="3" fillId="14" borderId="28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/>
    </xf>
    <xf numFmtId="164" fontId="0" fillId="0" borderId="0" xfId="1" applyNumberFormat="1" applyFont="1"/>
    <xf numFmtId="0" fontId="14" fillId="0" borderId="51" xfId="0" applyFont="1" applyFill="1" applyBorder="1" applyAlignment="1"/>
    <xf numFmtId="5" fontId="14" fillId="0" borderId="22" xfId="1" applyNumberFormat="1" applyFont="1" applyFill="1" applyBorder="1"/>
    <xf numFmtId="164" fontId="14" fillId="0" borderId="22" xfId="0" applyNumberFormat="1" applyFont="1" applyFill="1" applyBorder="1" applyAlignment="1">
      <alignment horizontal="center"/>
    </xf>
    <xf numFmtId="164" fontId="3" fillId="14" borderId="36" xfId="0" applyNumberFormat="1" applyFont="1" applyFill="1" applyBorder="1" applyAlignment="1">
      <alignment vertical="center"/>
    </xf>
    <xf numFmtId="0" fontId="1" fillId="9" borderId="8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22" xfId="0" applyFont="1" applyBorder="1" applyAlignment="1">
      <alignment horizontal="left"/>
    </xf>
    <xf numFmtId="0" fontId="4" fillId="10" borderId="47" xfId="0" applyFont="1" applyFill="1" applyBorder="1" applyAlignment="1">
      <alignment horizontal="center" vertical="center"/>
    </xf>
    <xf numFmtId="0" fontId="4" fillId="10" borderId="48" xfId="0" applyFont="1" applyFill="1" applyBorder="1" applyAlignment="1">
      <alignment horizontal="center" vertical="center"/>
    </xf>
    <xf numFmtId="0" fontId="4" fillId="10" borderId="49" xfId="0" applyFont="1" applyFill="1" applyBorder="1" applyAlignment="1">
      <alignment horizontal="center" vertical="center"/>
    </xf>
    <xf numFmtId="0" fontId="4" fillId="10" borderId="30" xfId="0" applyFont="1" applyFill="1" applyBorder="1" applyAlignment="1">
      <alignment horizontal="center" vertical="center"/>
    </xf>
    <xf numFmtId="0" fontId="4" fillId="10" borderId="42" xfId="0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38" fillId="0" borderId="86" xfId="0" applyFont="1" applyFill="1" applyBorder="1" applyAlignment="1">
      <alignment horizontal="left"/>
    </xf>
    <xf numFmtId="0" fontId="38" fillId="0" borderId="9" xfId="0" applyFont="1" applyFill="1" applyBorder="1" applyAlignment="1">
      <alignment horizontal="left"/>
    </xf>
    <xf numFmtId="0" fontId="38" fillId="0" borderId="51" xfId="0" applyFont="1" applyFill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164" fontId="3" fillId="11" borderId="68" xfId="0" applyNumberFormat="1" applyFont="1" applyFill="1" applyBorder="1" applyAlignment="1">
      <alignment horizontal="center" vertical="center"/>
    </xf>
    <xf numFmtId="164" fontId="3" fillId="11" borderId="3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60" xfId="0" applyFont="1" applyBorder="1" applyAlignment="1">
      <alignment horizontal="center" wrapText="1"/>
    </xf>
    <xf numFmtId="0" fontId="4" fillId="10" borderId="24" xfId="0" applyFont="1" applyFill="1" applyBorder="1" applyAlignment="1">
      <alignment horizontal="center" vertical="center"/>
    </xf>
    <xf numFmtId="0" fontId="4" fillId="10" borderId="25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22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left" vertical="center"/>
    </xf>
    <xf numFmtId="0" fontId="4" fillId="10" borderId="24" xfId="0" applyFont="1" applyFill="1" applyBorder="1" applyAlignment="1">
      <alignment horizontal="left" vertical="center"/>
    </xf>
    <xf numFmtId="0" fontId="3" fillId="11" borderId="23" xfId="0" applyFont="1" applyFill="1" applyBorder="1" applyAlignment="1">
      <alignment horizontal="left" wrapText="1"/>
    </xf>
    <xf numFmtId="0" fontId="3" fillId="11" borderId="24" xfId="0" applyFont="1" applyFill="1" applyBorder="1" applyAlignment="1">
      <alignment horizontal="left" wrapText="1"/>
    </xf>
    <xf numFmtId="0" fontId="14" fillId="0" borderId="16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4" fillId="10" borderId="55" xfId="0" applyFont="1" applyFill="1" applyBorder="1" applyAlignment="1">
      <alignment horizontal="left" vertical="center"/>
    </xf>
    <xf numFmtId="0" fontId="4" fillId="10" borderId="10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center" wrapText="1"/>
    </xf>
    <xf numFmtId="0" fontId="4" fillId="0" borderId="61" xfId="0" applyFont="1" applyFill="1" applyBorder="1" applyAlignment="1">
      <alignment horizontal="center" wrapText="1"/>
    </xf>
    <xf numFmtId="0" fontId="4" fillId="0" borderId="50" xfId="0" applyFont="1" applyFill="1" applyBorder="1" applyAlignment="1">
      <alignment horizontal="center" wrapText="1"/>
    </xf>
    <xf numFmtId="0" fontId="5" fillId="10" borderId="47" xfId="0" applyFont="1" applyFill="1" applyBorder="1" applyAlignment="1">
      <alignment horizontal="center" vertical="center"/>
    </xf>
    <xf numFmtId="0" fontId="5" fillId="10" borderId="48" xfId="0" applyFont="1" applyFill="1" applyBorder="1" applyAlignment="1">
      <alignment horizontal="center" vertical="center"/>
    </xf>
    <xf numFmtId="0" fontId="5" fillId="10" borderId="49" xfId="0" applyFont="1" applyFill="1" applyBorder="1" applyAlignment="1">
      <alignment horizontal="center" vertical="center"/>
    </xf>
    <xf numFmtId="0" fontId="5" fillId="10" borderId="52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5" fillId="10" borderId="54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5" fillId="10" borderId="2" xfId="0" applyFont="1" applyFill="1" applyBorder="1" applyAlignment="1">
      <alignment horizontal="center" vertical="center"/>
    </xf>
    <xf numFmtId="0" fontId="5" fillId="10" borderId="41" xfId="0" applyFont="1" applyFill="1" applyBorder="1" applyAlignment="1">
      <alignment horizontal="center" vertical="center"/>
    </xf>
    <xf numFmtId="164" fontId="11" fillId="0" borderId="23" xfId="1" applyNumberFormat="1" applyFont="1" applyBorder="1" applyAlignment="1">
      <alignment horizontal="center"/>
    </xf>
    <xf numFmtId="164" fontId="11" fillId="0" borderId="24" xfId="1" applyNumberFormat="1" applyFont="1" applyBorder="1" applyAlignment="1">
      <alignment horizontal="center"/>
    </xf>
    <xf numFmtId="164" fontId="11" fillId="0" borderId="25" xfId="1" applyNumberFormat="1" applyFont="1" applyBorder="1" applyAlignment="1">
      <alignment horizont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164" fontId="11" fillId="0" borderId="1" xfId="1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30" fillId="10" borderId="18" xfId="0" applyFont="1" applyFill="1" applyBorder="1" applyAlignment="1">
      <alignment horizontal="center" vertical="center"/>
    </xf>
    <xf numFmtId="0" fontId="30" fillId="10" borderId="19" xfId="0" applyFont="1" applyFill="1" applyBorder="1" applyAlignment="1">
      <alignment horizontal="center" vertical="center"/>
    </xf>
    <xf numFmtId="0" fontId="30" fillId="10" borderId="20" xfId="0" applyFont="1" applyFill="1" applyBorder="1" applyAlignment="1">
      <alignment horizontal="center" vertical="center"/>
    </xf>
    <xf numFmtId="0" fontId="25" fillId="10" borderId="1" xfId="0" applyFont="1" applyFill="1" applyBorder="1" applyAlignment="1">
      <alignment horizontal="center"/>
    </xf>
    <xf numFmtId="0" fontId="25" fillId="10" borderId="22" xfId="0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 vertical="center"/>
    </xf>
    <xf numFmtId="0" fontId="4" fillId="10" borderId="56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wrapText="1"/>
    </xf>
    <xf numFmtId="0" fontId="6" fillId="0" borderId="60" xfId="0" applyFont="1" applyBorder="1" applyAlignment="1">
      <alignment horizontal="left" wrapText="1"/>
    </xf>
    <xf numFmtId="0" fontId="14" fillId="0" borderId="40" xfId="0" applyFont="1" applyFill="1" applyBorder="1" applyAlignment="1">
      <alignment horizontal="left" wrapText="1"/>
    </xf>
    <xf numFmtId="0" fontId="14" fillId="0" borderId="41" xfId="0" applyFont="1" applyFill="1" applyBorder="1" applyAlignment="1">
      <alignment horizontal="left" wrapText="1"/>
    </xf>
    <xf numFmtId="0" fontId="14" fillId="0" borderId="51" xfId="0" applyFont="1" applyFill="1" applyBorder="1" applyAlignment="1">
      <alignment horizontal="left" wrapText="1"/>
    </xf>
    <xf numFmtId="0" fontId="14" fillId="0" borderId="53" xfId="0" applyFont="1" applyFill="1" applyBorder="1" applyAlignment="1">
      <alignment horizontal="left" wrapText="1"/>
    </xf>
    <xf numFmtId="164" fontId="3" fillId="11" borderId="55" xfId="0" applyNumberFormat="1" applyFont="1" applyFill="1" applyBorder="1" applyAlignment="1">
      <alignment horizontal="center" vertical="center"/>
    </xf>
    <xf numFmtId="164" fontId="3" fillId="11" borderId="56" xfId="0" applyNumberFormat="1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left" wrapText="1"/>
    </xf>
    <xf numFmtId="0" fontId="14" fillId="0" borderId="60" xfId="0" applyFont="1" applyFill="1" applyBorder="1" applyAlignment="1">
      <alignment horizontal="left" wrapText="1"/>
    </xf>
    <xf numFmtId="0" fontId="14" fillId="0" borderId="21" xfId="0" applyFont="1" applyFill="1" applyBorder="1" applyAlignment="1">
      <alignment horizontal="left" wrapText="1"/>
    </xf>
    <xf numFmtId="0" fontId="14" fillId="0" borderId="2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10" borderId="70" xfId="0" applyFont="1" applyFill="1" applyBorder="1" applyAlignment="1">
      <alignment horizontal="left" vertical="center"/>
    </xf>
    <xf numFmtId="0" fontId="4" fillId="10" borderId="71" xfId="0" applyFont="1" applyFill="1" applyBorder="1" applyAlignment="1">
      <alignment horizontal="left" vertical="center"/>
    </xf>
    <xf numFmtId="0" fontId="4" fillId="10" borderId="58" xfId="0" applyFont="1" applyFill="1" applyBorder="1" applyAlignment="1">
      <alignment horizontal="left" vertical="center"/>
    </xf>
    <xf numFmtId="0" fontId="4" fillId="10" borderId="18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/>
    </xf>
    <xf numFmtId="0" fontId="11" fillId="0" borderId="61" xfId="0" applyFont="1" applyFill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6" fillId="0" borderId="54" xfId="0" applyFont="1" applyBorder="1" applyAlignment="1">
      <alignment horizontal="left" wrapText="1"/>
    </xf>
    <xf numFmtId="0" fontId="3" fillId="11" borderId="68" xfId="0" applyFont="1" applyFill="1" applyBorder="1" applyAlignment="1">
      <alignment horizontal="center"/>
    </xf>
    <xf numFmtId="0" fontId="3" fillId="11" borderId="32" xfId="0" applyFont="1" applyFill="1" applyBorder="1" applyAlignment="1">
      <alignment horizontal="center"/>
    </xf>
    <xf numFmtId="164" fontId="3" fillId="11" borderId="23" xfId="0" applyNumberFormat="1" applyFont="1" applyFill="1" applyBorder="1" applyAlignment="1">
      <alignment horizontal="center" vertical="center"/>
    </xf>
    <xf numFmtId="164" fontId="3" fillId="11" borderId="25" xfId="0" applyNumberFormat="1" applyFont="1" applyFill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14" fillId="0" borderId="81" xfId="0" applyFont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81" xfId="0" applyFont="1" applyBorder="1" applyAlignment="1">
      <alignment horizontal="left"/>
    </xf>
    <xf numFmtId="0" fontId="14" fillId="0" borderId="60" xfId="0" applyFont="1" applyBorder="1" applyAlignment="1">
      <alignment horizontal="left"/>
    </xf>
    <xf numFmtId="0" fontId="0" fillId="0" borderId="23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1" fillId="0" borderId="50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4" fillId="10" borderId="68" xfId="0" applyFont="1" applyFill="1" applyBorder="1" applyAlignment="1">
      <alignment horizontal="center" vertical="center"/>
    </xf>
    <xf numFmtId="14" fontId="9" fillId="0" borderId="68" xfId="0" applyNumberFormat="1" applyFont="1" applyBorder="1" applyAlignment="1">
      <alignment horizontal="center" vertical="center"/>
    </xf>
    <xf numFmtId="14" fontId="9" fillId="0" borderId="32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wrapText="1"/>
    </xf>
    <xf numFmtId="0" fontId="13" fillId="0" borderId="54" xfId="0" applyFont="1" applyBorder="1" applyAlignment="1">
      <alignment horizontal="center" wrapText="1"/>
    </xf>
    <xf numFmtId="0" fontId="5" fillId="10" borderId="55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5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54" xfId="0" applyFont="1" applyBorder="1" applyAlignment="1">
      <alignment horizontal="center" wrapText="1"/>
    </xf>
    <xf numFmtId="0" fontId="4" fillId="10" borderId="44" xfId="0" applyFont="1" applyFill="1" applyBorder="1" applyAlignment="1">
      <alignment horizontal="center" vertical="center"/>
    </xf>
    <xf numFmtId="0" fontId="4" fillId="10" borderId="50" xfId="0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left" vertical="center"/>
    </xf>
    <xf numFmtId="0" fontId="4" fillId="10" borderId="19" xfId="0" applyFont="1" applyFill="1" applyBorder="1" applyAlignment="1">
      <alignment horizontal="left" vertical="center"/>
    </xf>
    <xf numFmtId="0" fontId="4" fillId="10" borderId="20" xfId="0" applyFont="1" applyFill="1" applyBorder="1" applyAlignment="1">
      <alignment horizontal="left" vertical="center"/>
    </xf>
    <xf numFmtId="0" fontId="0" fillId="10" borderId="76" xfId="0" applyFill="1" applyBorder="1" applyAlignment="1">
      <alignment horizontal="center"/>
    </xf>
    <xf numFmtId="0" fontId="0" fillId="10" borderId="62" xfId="0" applyFill="1" applyBorder="1" applyAlignment="1">
      <alignment horizontal="center"/>
    </xf>
    <xf numFmtId="0" fontId="0" fillId="10" borderId="63" xfId="0" applyFill="1" applyBorder="1" applyAlignment="1">
      <alignment horizontal="center"/>
    </xf>
    <xf numFmtId="0" fontId="14" fillId="0" borderId="26" xfId="0" applyFont="1" applyFill="1" applyBorder="1" applyAlignment="1">
      <alignment horizontal="left" wrapText="1"/>
    </xf>
    <xf numFmtId="0" fontId="14" fillId="0" borderId="50" xfId="0" applyFont="1" applyFill="1" applyBorder="1" applyAlignment="1">
      <alignment horizontal="left" wrapText="1"/>
    </xf>
    <xf numFmtId="164" fontId="11" fillId="0" borderId="23" xfId="1" applyNumberFormat="1" applyFont="1" applyBorder="1" applyAlignment="1">
      <alignment horizontal="center" vertical="center"/>
    </xf>
    <xf numFmtId="164" fontId="11" fillId="0" borderId="24" xfId="1" applyNumberFormat="1" applyFont="1" applyBorder="1" applyAlignment="1">
      <alignment horizontal="center" vertical="center"/>
    </xf>
    <xf numFmtId="164" fontId="11" fillId="0" borderId="25" xfId="1" applyNumberFormat="1" applyFont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  <xf numFmtId="164" fontId="11" fillId="0" borderId="26" xfId="1" applyNumberFormat="1" applyFont="1" applyFill="1" applyBorder="1" applyAlignment="1">
      <alignment horizontal="center"/>
    </xf>
    <xf numFmtId="164" fontId="11" fillId="0" borderId="61" xfId="1" applyNumberFormat="1" applyFont="1" applyFill="1" applyBorder="1" applyAlignment="1">
      <alignment horizontal="center"/>
    </xf>
    <xf numFmtId="164" fontId="11" fillId="0" borderId="50" xfId="1" applyNumberFormat="1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wrapText="1"/>
    </xf>
    <xf numFmtId="0" fontId="4" fillId="0" borderId="61" xfId="0" applyFont="1" applyBorder="1" applyAlignment="1">
      <alignment horizontal="center" wrapText="1"/>
    </xf>
    <xf numFmtId="0" fontId="4" fillId="0" borderId="50" xfId="0" applyFont="1" applyBorder="1" applyAlignment="1">
      <alignment horizontal="center" wrapText="1"/>
    </xf>
    <xf numFmtId="0" fontId="11" fillId="0" borderId="26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4" fillId="0" borderId="2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3" fillId="11" borderId="25" xfId="0" applyFont="1" applyFill="1" applyBorder="1" applyAlignment="1">
      <alignment horizontal="left" wrapText="1"/>
    </xf>
    <xf numFmtId="0" fontId="14" fillId="0" borderId="7" xfId="0" applyFont="1" applyFill="1" applyBorder="1" applyAlignment="1">
      <alignment horizontal="left" wrapText="1"/>
    </xf>
    <xf numFmtId="0" fontId="14" fillId="0" borderId="9" xfId="0" applyFont="1" applyFill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0" fontId="14" fillId="0" borderId="22" xfId="0" applyFont="1" applyBorder="1" applyAlignment="1">
      <alignment horizontal="left" wrapText="1"/>
    </xf>
    <xf numFmtId="164" fontId="3" fillId="11" borderId="27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wrapText="1"/>
    </xf>
    <xf numFmtId="0" fontId="14" fillId="0" borderId="53" xfId="0" applyFont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4" fontId="3" fillId="11" borderId="66" xfId="0" applyNumberFormat="1" applyFont="1" applyFill="1" applyBorder="1" applyAlignment="1">
      <alignment horizontal="center" vertical="center"/>
    </xf>
    <xf numFmtId="164" fontId="3" fillId="11" borderId="59" xfId="0" applyNumberFormat="1" applyFont="1" applyFill="1" applyBorder="1" applyAlignment="1">
      <alignment horizontal="center" vertical="center"/>
    </xf>
    <xf numFmtId="164" fontId="0" fillId="0" borderId="26" xfId="1" applyNumberFormat="1" applyFont="1" applyFill="1" applyBorder="1" applyAlignment="1">
      <alignment horizontal="left" vertical="center" wrapText="1"/>
    </xf>
    <xf numFmtId="164" fontId="0" fillId="0" borderId="50" xfId="1" applyNumberFormat="1" applyFont="1" applyFill="1" applyBorder="1" applyAlignment="1">
      <alignment horizontal="left" vertical="center" wrapText="1"/>
    </xf>
    <xf numFmtId="0" fontId="2" fillId="6" borderId="47" xfId="0" applyFont="1" applyFill="1" applyBorder="1" applyAlignment="1">
      <alignment horizontal="center" vertical="center" wrapText="1"/>
    </xf>
    <xf numFmtId="0" fontId="2" fillId="6" borderId="48" xfId="0" applyFont="1" applyFill="1" applyBorder="1" applyAlignment="1">
      <alignment horizontal="center" vertical="center" wrapText="1"/>
    </xf>
    <xf numFmtId="0" fontId="2" fillId="6" borderId="57" xfId="0" applyFont="1" applyFill="1" applyBorder="1" applyAlignment="1">
      <alignment horizontal="center" vertical="center" wrapText="1"/>
    </xf>
    <xf numFmtId="0" fontId="2" fillId="6" borderId="52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1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67" xfId="0" applyBorder="1" applyAlignment="1">
      <alignment horizontal="center"/>
    </xf>
    <xf numFmtId="0" fontId="4" fillId="10" borderId="25" xfId="0" applyFont="1" applyFill="1" applyBorder="1" applyAlignment="1">
      <alignment horizontal="left" vertical="center"/>
    </xf>
    <xf numFmtId="0" fontId="4" fillId="0" borderId="51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3" fillId="11" borderId="55" xfId="0" applyFont="1" applyFill="1" applyBorder="1" applyAlignment="1">
      <alignment horizontal="left" wrapText="1"/>
    </xf>
    <xf numFmtId="0" fontId="3" fillId="11" borderId="10" xfId="0" applyFont="1" applyFill="1" applyBorder="1" applyAlignment="1">
      <alignment horizontal="left" wrapText="1"/>
    </xf>
    <xf numFmtId="0" fontId="14" fillId="0" borderId="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8" xfId="0" applyFont="1" applyBorder="1" applyAlignment="1">
      <alignment horizontal="left"/>
    </xf>
    <xf numFmtId="0" fontId="14" fillId="0" borderId="53" xfId="0" applyFont="1" applyBorder="1" applyAlignment="1">
      <alignment horizontal="left"/>
    </xf>
    <xf numFmtId="0" fontId="14" fillId="0" borderId="8" xfId="0" applyFont="1" applyBorder="1" applyAlignment="1">
      <alignment horizontal="left" wrapText="1"/>
    </xf>
    <xf numFmtId="0" fontId="14" fillId="0" borderId="53" xfId="0" applyFont="1" applyBorder="1" applyAlignment="1">
      <alignment horizontal="left" wrapText="1"/>
    </xf>
    <xf numFmtId="164" fontId="3" fillId="11" borderId="10" xfId="0" applyNumberFormat="1" applyFont="1" applyFill="1" applyBorder="1" applyAlignment="1">
      <alignment horizontal="center" vertical="center"/>
    </xf>
    <xf numFmtId="0" fontId="14" fillId="0" borderId="12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4" fillId="10" borderId="5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164" fontId="3" fillId="11" borderId="24" xfId="0" applyNumberFormat="1" applyFont="1" applyFill="1" applyBorder="1" applyAlignment="1">
      <alignment horizontal="center" vertical="center"/>
    </xf>
    <xf numFmtId="0" fontId="14" fillId="0" borderId="16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5" fillId="10" borderId="40" xfId="0" applyFont="1" applyFill="1" applyBorder="1" applyAlignment="1">
      <alignment horizontal="center" vertical="center"/>
    </xf>
    <xf numFmtId="0" fontId="35" fillId="10" borderId="18" xfId="0" applyFont="1" applyFill="1" applyBorder="1" applyAlignment="1">
      <alignment horizontal="center" vertical="center"/>
    </xf>
    <xf numFmtId="0" fontId="35" fillId="10" borderId="19" xfId="0" applyFont="1" applyFill="1" applyBorder="1" applyAlignment="1">
      <alignment horizontal="center" vertical="center"/>
    </xf>
    <xf numFmtId="0" fontId="33" fillId="10" borderId="8" xfId="0" applyFont="1" applyFill="1" applyBorder="1" applyAlignment="1">
      <alignment horizontal="center"/>
    </xf>
    <xf numFmtId="0" fontId="33" fillId="10" borderId="16" xfId="0" applyFont="1" applyFill="1" applyBorder="1" applyAlignment="1">
      <alignment horizontal="center"/>
    </xf>
    <xf numFmtId="0" fontId="33" fillId="10" borderId="9" xfId="0" applyFont="1" applyFill="1" applyBorder="1" applyAlignment="1">
      <alignment horizontal="center"/>
    </xf>
    <xf numFmtId="0" fontId="3" fillId="11" borderId="72" xfId="0" applyFont="1" applyFill="1" applyBorder="1" applyAlignment="1">
      <alignment horizontal="left" wrapText="1"/>
    </xf>
    <xf numFmtId="0" fontId="3" fillId="11" borderId="66" xfId="0" applyFont="1" applyFill="1" applyBorder="1" applyAlignment="1">
      <alignment horizontal="left" wrapText="1"/>
    </xf>
    <xf numFmtId="0" fontId="3" fillId="11" borderId="68" xfId="0" applyFont="1" applyFill="1" applyBorder="1" applyAlignment="1">
      <alignment horizontal="left" wrapText="1"/>
    </xf>
    <xf numFmtId="164" fontId="3" fillId="11" borderId="31" xfId="0" applyNumberFormat="1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left" wrapText="1"/>
    </xf>
    <xf numFmtId="0" fontId="14" fillId="0" borderId="25" xfId="0" applyFont="1" applyFill="1" applyBorder="1" applyAlignment="1">
      <alignment horizontal="left" wrapText="1"/>
    </xf>
    <xf numFmtId="0" fontId="0" fillId="8" borderId="47" xfId="0" applyFill="1" applyBorder="1" applyAlignment="1">
      <alignment horizontal="left"/>
    </xf>
    <xf numFmtId="0" fontId="0" fillId="8" borderId="48" xfId="0" applyFill="1" applyBorder="1" applyAlignment="1">
      <alignment horizontal="left"/>
    </xf>
    <xf numFmtId="0" fontId="0" fillId="8" borderId="49" xfId="0" applyFill="1" applyBorder="1" applyAlignment="1">
      <alignment horizontal="left"/>
    </xf>
    <xf numFmtId="0" fontId="0" fillId="8" borderId="30" xfId="0" applyFill="1" applyBorder="1" applyAlignment="1">
      <alignment horizontal="left"/>
    </xf>
    <xf numFmtId="0" fontId="0" fillId="8" borderId="42" xfId="0" applyFill="1" applyBorder="1" applyAlignment="1">
      <alignment horizontal="left"/>
    </xf>
    <xf numFmtId="0" fontId="0" fillId="8" borderId="32" xfId="0" applyFill="1" applyBorder="1" applyAlignment="1">
      <alignment horizontal="left"/>
    </xf>
    <xf numFmtId="0" fontId="4" fillId="10" borderId="3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3" fillId="11" borderId="26" xfId="0" applyFont="1" applyFill="1" applyBorder="1" applyAlignment="1">
      <alignment horizontal="center" wrapText="1"/>
    </xf>
    <xf numFmtId="0" fontId="3" fillId="11" borderId="61" xfId="0" applyFont="1" applyFill="1" applyBorder="1" applyAlignment="1">
      <alignment horizontal="center" wrapText="1"/>
    </xf>
    <xf numFmtId="164" fontId="3" fillId="11" borderId="77" xfId="0" applyNumberFormat="1" applyFont="1" applyFill="1" applyBorder="1" applyAlignment="1">
      <alignment horizontal="left" vertical="center"/>
    </xf>
    <xf numFmtId="164" fontId="3" fillId="11" borderId="67" xfId="0" applyNumberFormat="1" applyFont="1" applyFill="1" applyBorder="1" applyAlignment="1">
      <alignment horizontal="left" vertical="center"/>
    </xf>
    <xf numFmtId="0" fontId="1" fillId="10" borderId="39" xfId="0" applyFont="1" applyFill="1" applyBorder="1" applyAlignment="1">
      <alignment horizontal="center"/>
    </xf>
    <xf numFmtId="0" fontId="1" fillId="10" borderId="38" xfId="0" applyFont="1" applyFill="1" applyBorder="1" applyAlignment="1">
      <alignment horizontal="center"/>
    </xf>
    <xf numFmtId="0" fontId="1" fillId="10" borderId="28" xfId="0" applyFont="1" applyFill="1" applyBorder="1" applyAlignment="1">
      <alignment horizontal="center"/>
    </xf>
    <xf numFmtId="0" fontId="5" fillId="0" borderId="6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2" borderId="2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7" borderId="47" xfId="0" applyFill="1" applyBorder="1" applyAlignment="1">
      <alignment horizontal="center" vertical="center" wrapText="1"/>
    </xf>
    <xf numFmtId="0" fontId="0" fillId="7" borderId="57" xfId="0" applyFill="1" applyBorder="1" applyAlignment="1">
      <alignment horizontal="center" vertical="center" wrapText="1"/>
    </xf>
    <xf numFmtId="0" fontId="0" fillId="7" borderId="52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42" fontId="11" fillId="0" borderId="8" xfId="0" applyNumberFormat="1" applyFont="1" applyBorder="1" applyAlignment="1">
      <alignment horizontal="center"/>
    </xf>
    <xf numFmtId="42" fontId="11" fillId="0" borderId="16" xfId="0" applyNumberFormat="1" applyFont="1" applyBorder="1" applyAlignment="1">
      <alignment horizontal="center"/>
    </xf>
    <xf numFmtId="42" fontId="11" fillId="0" borderId="53" xfId="0" applyNumberFormat="1" applyFont="1" applyBorder="1" applyAlignment="1">
      <alignment horizontal="center"/>
    </xf>
    <xf numFmtId="0" fontId="8" fillId="0" borderId="5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center" wrapText="1"/>
    </xf>
    <xf numFmtId="0" fontId="43" fillId="0" borderId="52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24" fillId="16" borderId="8" xfId="0" applyFont="1" applyFill="1" applyBorder="1" applyAlignment="1">
      <alignment horizontal="center" vertical="center"/>
    </xf>
    <xf numFmtId="0" fontId="24" fillId="16" borderId="53" xfId="0" applyFont="1" applyFill="1" applyBorder="1" applyAlignment="1">
      <alignment horizontal="center" vertical="center"/>
    </xf>
    <xf numFmtId="0" fontId="24" fillId="16" borderId="43" xfId="0" applyFont="1" applyFill="1" applyBorder="1" applyAlignment="1">
      <alignment horizontal="center" vertical="center"/>
    </xf>
    <xf numFmtId="0" fontId="24" fillId="16" borderId="63" xfId="0" applyFont="1" applyFill="1" applyBorder="1" applyAlignment="1">
      <alignment horizontal="center" vertical="center"/>
    </xf>
    <xf numFmtId="14" fontId="24" fillId="16" borderId="8" xfId="0" applyNumberFormat="1" applyFont="1" applyFill="1" applyBorder="1" applyAlignment="1">
      <alignment horizontal="center" vertical="center"/>
    </xf>
    <xf numFmtId="14" fontId="24" fillId="16" borderId="53" xfId="0" applyNumberFormat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6" borderId="48" xfId="0" applyFill="1" applyBorder="1" applyAlignment="1">
      <alignment horizontal="center" vertical="center" wrapText="1"/>
    </xf>
    <xf numFmtId="0" fontId="0" fillId="6" borderId="49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0" fontId="0" fillId="6" borderId="54" xfId="0" applyFill="1" applyBorder="1" applyAlignment="1">
      <alignment horizontal="center" vertical="center" wrapText="1"/>
    </xf>
    <xf numFmtId="0" fontId="3" fillId="17" borderId="39" xfId="0" applyFont="1" applyFill="1" applyBorder="1" applyAlignment="1">
      <alignment horizontal="center"/>
    </xf>
    <xf numFmtId="0" fontId="3" fillId="17" borderId="38" xfId="0" applyFont="1" applyFill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13" borderId="51" xfId="0" applyFont="1" applyFill="1" applyBorder="1" applyAlignment="1">
      <alignment horizontal="center"/>
    </xf>
    <xf numFmtId="0" fontId="4" fillId="13" borderId="9" xfId="0" applyFont="1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1" xfId="0" applyBorder="1" applyAlignment="1">
      <alignment horizontal="left"/>
    </xf>
    <xf numFmtId="0" fontId="0" fillId="0" borderId="9" xfId="0" applyBorder="1" applyAlignment="1">
      <alignment horizontal="left"/>
    </xf>
    <xf numFmtId="0" fontId="14" fillId="0" borderId="51" xfId="0" applyFont="1" applyFill="1" applyBorder="1" applyAlignment="1">
      <alignment horizontal="left"/>
    </xf>
    <xf numFmtId="0" fontId="14" fillId="0" borderId="9" xfId="0" applyFont="1" applyFill="1" applyBorder="1" applyAlignment="1">
      <alignment horizontal="left"/>
    </xf>
    <xf numFmtId="0" fontId="14" fillId="0" borderId="51" xfId="0" applyFont="1" applyBorder="1" applyAlignment="1">
      <alignment horizontal="left"/>
    </xf>
    <xf numFmtId="0" fontId="4" fillId="0" borderId="5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82" xfId="0" applyBorder="1" applyAlignment="1">
      <alignment horizontal="center"/>
    </xf>
    <xf numFmtId="0" fontId="0" fillId="0" borderId="45" xfId="0" applyBorder="1" applyAlignment="1">
      <alignment horizontal="center"/>
    </xf>
    <xf numFmtId="0" fontId="4" fillId="0" borderId="83" xfId="0" applyFont="1" applyBorder="1" applyAlignment="1">
      <alignment horizontal="center" wrapText="1"/>
    </xf>
    <xf numFmtId="0" fontId="4" fillId="0" borderId="46" xfId="0" applyFont="1" applyBorder="1" applyAlignment="1">
      <alignment horizontal="center" wrapText="1"/>
    </xf>
    <xf numFmtId="0" fontId="0" fillId="0" borderId="77" xfId="0" applyBorder="1" applyAlignment="1">
      <alignment horizontal="left"/>
    </xf>
    <xf numFmtId="0" fontId="0" fillId="0" borderId="5" xfId="0" applyBorder="1" applyAlignment="1">
      <alignment horizontal="left"/>
    </xf>
    <xf numFmtId="0" fontId="22" fillId="14" borderId="39" xfId="0" applyFont="1" applyFill="1" applyBorder="1" applyAlignment="1">
      <alignment horizontal="left" vertical="center"/>
    </xf>
    <xf numFmtId="0" fontId="22" fillId="14" borderId="28" xfId="0" applyFont="1" applyFill="1" applyBorder="1" applyAlignment="1">
      <alignment horizontal="left" vertical="center"/>
    </xf>
    <xf numFmtId="0" fontId="4" fillId="5" borderId="51" xfId="0" applyFont="1" applyFill="1" applyBorder="1" applyAlignment="1">
      <alignment horizontal="left"/>
    </xf>
    <xf numFmtId="0" fontId="4" fillId="5" borderId="9" xfId="0" applyFont="1" applyFill="1" applyBorder="1" applyAlignment="1">
      <alignment horizontal="left"/>
    </xf>
    <xf numFmtId="0" fontId="14" fillId="13" borderId="51" xfId="0" applyFont="1" applyFill="1" applyBorder="1" applyAlignment="1">
      <alignment horizontal="center"/>
    </xf>
    <xf numFmtId="0" fontId="14" fillId="13" borderId="9" xfId="0" applyFont="1" applyFill="1" applyBorder="1" applyAlignment="1">
      <alignment horizontal="center"/>
    </xf>
    <xf numFmtId="0" fontId="4" fillId="0" borderId="51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3" fillId="0" borderId="69" xfId="0" applyFont="1" applyBorder="1" applyAlignment="1">
      <alignment horizontal="center" vertical="center" wrapText="1"/>
    </xf>
    <xf numFmtId="0" fontId="43" fillId="0" borderId="57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28" fillId="18" borderId="69" xfId="0" applyFont="1" applyFill="1" applyBorder="1" applyAlignment="1">
      <alignment horizontal="center" vertical="center" wrapText="1"/>
    </xf>
    <xf numFmtId="0" fontId="28" fillId="18" borderId="48" xfId="0" applyFont="1" applyFill="1" applyBorder="1" applyAlignment="1">
      <alignment horizontal="center" vertical="center" wrapText="1"/>
    </xf>
    <xf numFmtId="0" fontId="28" fillId="18" borderId="14" xfId="0" applyFont="1" applyFill="1" applyBorder="1" applyAlignment="1">
      <alignment horizontal="center" vertical="center" wrapText="1"/>
    </xf>
    <xf numFmtId="0" fontId="28" fillId="18" borderId="0" xfId="0" applyFont="1" applyFill="1" applyBorder="1" applyAlignment="1">
      <alignment horizontal="center" vertical="center" wrapText="1"/>
    </xf>
    <xf numFmtId="0" fontId="28" fillId="18" borderId="68" xfId="0" applyFont="1" applyFill="1" applyBorder="1" applyAlignment="1">
      <alignment horizontal="center" vertical="center" wrapText="1"/>
    </xf>
    <xf numFmtId="0" fontId="28" fillId="18" borderId="42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14" fontId="9" fillId="0" borderId="44" xfId="0" applyNumberFormat="1" applyFont="1" applyFill="1" applyBorder="1" applyAlignment="1">
      <alignment horizontal="center" vertical="center"/>
    </xf>
    <xf numFmtId="14" fontId="9" fillId="0" borderId="50" xfId="0" applyNumberFormat="1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55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22" fillId="14" borderId="38" xfId="0" applyFont="1" applyFill="1" applyBorder="1" applyAlignment="1">
      <alignment horizontal="left" vertical="center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4" fillId="0" borderId="85" xfId="0" applyFont="1" applyBorder="1" applyAlignment="1">
      <alignment horizontal="center" wrapText="1"/>
    </xf>
    <xf numFmtId="0" fontId="4" fillId="0" borderId="98" xfId="0" applyFont="1" applyBorder="1" applyAlignment="1">
      <alignment horizontal="center" wrapText="1"/>
    </xf>
    <xf numFmtId="0" fontId="0" fillId="0" borderId="40" xfId="0" applyBorder="1" applyAlignment="1">
      <alignment horizontal="center"/>
    </xf>
    <xf numFmtId="0" fontId="0" fillId="0" borderId="7" xfId="0" applyBorder="1" applyAlignment="1">
      <alignment horizontal="center"/>
    </xf>
    <xf numFmtId="0" fontId="28" fillId="19" borderId="69" xfId="0" applyFont="1" applyFill="1" applyBorder="1" applyAlignment="1">
      <alignment horizontal="center" vertical="center" wrapText="1"/>
    </xf>
    <xf numFmtId="0" fontId="28" fillId="19" borderId="48" xfId="0" applyFont="1" applyFill="1" applyBorder="1" applyAlignment="1">
      <alignment horizontal="center" vertical="center" wrapText="1"/>
    </xf>
    <xf numFmtId="0" fontId="28" fillId="19" borderId="14" xfId="0" applyFont="1" applyFill="1" applyBorder="1" applyAlignment="1">
      <alignment horizontal="center" vertical="center" wrapText="1"/>
    </xf>
    <xf numFmtId="0" fontId="28" fillId="19" borderId="0" xfId="0" applyFont="1" applyFill="1" applyBorder="1" applyAlignment="1">
      <alignment horizontal="center" vertical="center" wrapText="1"/>
    </xf>
    <xf numFmtId="0" fontId="28" fillId="19" borderId="68" xfId="0" applyFont="1" applyFill="1" applyBorder="1" applyAlignment="1">
      <alignment horizontal="center" vertical="center" wrapText="1"/>
    </xf>
    <xf numFmtId="0" fontId="28" fillId="19" borderId="4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4" fillId="3" borderId="95" xfId="0" applyFont="1" applyFill="1" applyBorder="1" applyAlignment="1">
      <alignment horizontal="center"/>
    </xf>
    <xf numFmtId="0" fontId="4" fillId="15" borderId="21" xfId="0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 wrapText="1"/>
    </xf>
    <xf numFmtId="0" fontId="0" fillId="0" borderId="77" xfId="0" applyBorder="1" applyAlignment="1">
      <alignment horizontal="center"/>
    </xf>
    <xf numFmtId="0" fontId="0" fillId="0" borderId="5" xfId="0" applyBorder="1" applyAlignment="1">
      <alignment horizontal="center"/>
    </xf>
    <xf numFmtId="0" fontId="28" fillId="20" borderId="69" xfId="0" applyFont="1" applyFill="1" applyBorder="1" applyAlignment="1">
      <alignment horizontal="center" vertical="center" wrapText="1"/>
    </xf>
    <xf numFmtId="0" fontId="28" fillId="20" borderId="48" xfId="0" applyFont="1" applyFill="1" applyBorder="1" applyAlignment="1">
      <alignment horizontal="center" vertical="center" wrapText="1"/>
    </xf>
    <xf numFmtId="0" fontId="28" fillId="20" borderId="14" xfId="0" applyFont="1" applyFill="1" applyBorder="1" applyAlignment="1">
      <alignment horizontal="center" vertical="center" wrapText="1"/>
    </xf>
    <xf numFmtId="0" fontId="28" fillId="20" borderId="0" xfId="0" applyFont="1" applyFill="1" applyBorder="1" applyAlignment="1">
      <alignment horizontal="center" vertical="center" wrapText="1"/>
    </xf>
    <xf numFmtId="0" fontId="28" fillId="20" borderId="68" xfId="0" applyFont="1" applyFill="1" applyBorder="1" applyAlignment="1">
      <alignment horizontal="center" vertical="center" wrapText="1"/>
    </xf>
    <xf numFmtId="0" fontId="28" fillId="20" borderId="42" xfId="0" applyFont="1" applyFill="1" applyBorder="1" applyAlignment="1">
      <alignment horizontal="center" vertical="center" wrapText="1"/>
    </xf>
    <xf numFmtId="0" fontId="14" fillId="13" borderId="76" xfId="0" applyFont="1" applyFill="1" applyBorder="1" applyAlignment="1">
      <alignment horizontal="center"/>
    </xf>
    <xf numFmtId="0" fontId="14" fillId="13" borderId="29" xfId="0" applyFont="1" applyFill="1" applyBorder="1" applyAlignment="1">
      <alignment horizontal="center"/>
    </xf>
    <xf numFmtId="0" fontId="8" fillId="0" borderId="68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28" fillId="7" borderId="69" xfId="0" applyFont="1" applyFill="1" applyBorder="1" applyAlignment="1">
      <alignment horizontal="center" vertical="center" wrapText="1"/>
    </xf>
    <xf numFmtId="0" fontId="28" fillId="7" borderId="48" xfId="0" applyFont="1" applyFill="1" applyBorder="1" applyAlignment="1">
      <alignment horizontal="center" vertical="center" wrapText="1"/>
    </xf>
    <xf numFmtId="0" fontId="28" fillId="7" borderId="14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center" vertical="center" wrapText="1"/>
    </xf>
    <xf numFmtId="0" fontId="28" fillId="7" borderId="68" xfId="0" applyFont="1" applyFill="1" applyBorder="1" applyAlignment="1">
      <alignment horizontal="center" vertical="center" wrapText="1"/>
    </xf>
    <xf numFmtId="0" fontId="28" fillId="7" borderId="42" xfId="0" applyFont="1" applyFill="1" applyBorder="1" applyAlignment="1">
      <alignment horizontal="center" vertical="center" wrapText="1"/>
    </xf>
  </cellXfs>
  <cellStyles count="5">
    <cellStyle name="Moneda" xfId="1" builtinId="4"/>
    <cellStyle name="Normal" xfId="0" builtinId="0"/>
    <cellStyle name="Normal 2" xfId="3"/>
    <cellStyle name="Normal 2 2" xfId="4"/>
    <cellStyle name="Porcentual" xfId="2" builtinId="5"/>
  </cellStyles>
  <dxfs count="0"/>
  <tableStyles count="0" defaultTableStyle="TableStyleMedium2" defaultPivotStyle="PivotStyleLight16"/>
  <colors>
    <mruColors>
      <color rgb="FF33CC33"/>
      <color rgb="FF99FF33"/>
      <color rgb="FF99FF66"/>
      <color rgb="FFCC66FF"/>
      <color rgb="FFFFCC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911678</xdr:colOff>
      <xdr:row>343</xdr:row>
      <xdr:rowOff>81643</xdr:rowOff>
    </xdr:from>
    <xdr:to>
      <xdr:col>10</xdr:col>
      <xdr:colOff>136072</xdr:colOff>
      <xdr:row>345</xdr:row>
      <xdr:rowOff>285750</xdr:rowOff>
    </xdr:to>
    <xdr:sp macro="" textlink="">
      <xdr:nvSpPr>
        <xdr:cNvPr id="2" name="1 Corchetes"/>
        <xdr:cNvSpPr/>
      </xdr:nvSpPr>
      <xdr:spPr>
        <a:xfrm>
          <a:off x="5442857" y="30588857"/>
          <a:ext cx="4340679" cy="707572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6</xdr:col>
      <xdr:colOff>190500</xdr:colOff>
      <xdr:row>89</xdr:row>
      <xdr:rowOff>56027</xdr:rowOff>
    </xdr:from>
    <xdr:to>
      <xdr:col>11</xdr:col>
      <xdr:colOff>672354</xdr:colOff>
      <xdr:row>94</xdr:row>
      <xdr:rowOff>190499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974" t="42898" r="23081" b="43620"/>
        <a:stretch/>
      </xdr:blipFill>
      <xdr:spPr>
        <a:xfrm>
          <a:off x="6342529" y="25325292"/>
          <a:ext cx="6107207" cy="9861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os%20de%20soporte/Puntos%20de%20Salida%20Promigas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on%20Recibida/Correo%2028-10-14/PROYECTO%20CNO%20GAS%20-%20CREG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x10"/>
      <sheetName val="12x20"/>
      <sheetName val="20x20"/>
      <sheetName val="Ing&amp;Dis"/>
      <sheetName val="Civil"/>
      <sheetName val="Intervento"/>
      <sheetName val="END"/>
      <sheetName val="Tapping"/>
    </sheetNames>
    <sheetDataSet>
      <sheetData sheetId="0"/>
      <sheetData sheetId="1"/>
      <sheetData sheetId="2"/>
      <sheetData sheetId="3"/>
      <sheetData sheetId="4"/>
      <sheetData sheetId="5">
        <row r="39">
          <cell r="E39">
            <v>6776.4768414589134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9">
          <cell r="D9">
            <v>39200</v>
          </cell>
          <cell r="E9">
            <v>56800</v>
          </cell>
          <cell r="F9">
            <v>68000</v>
          </cell>
          <cell r="H9">
            <v>136000</v>
          </cell>
          <cell r="I9">
            <v>226000</v>
          </cell>
          <cell r="J9">
            <v>330000</v>
          </cell>
          <cell r="K9">
            <v>708000</v>
          </cell>
          <cell r="L9">
            <v>913000</v>
          </cell>
        </row>
        <row r="12">
          <cell r="D12">
            <v>5000</v>
          </cell>
          <cell r="E12">
            <v>7300</v>
          </cell>
          <cell r="F12">
            <v>7800</v>
          </cell>
          <cell r="G12">
            <v>10600</v>
          </cell>
          <cell r="H12">
            <v>16300</v>
          </cell>
          <cell r="I12">
            <v>21600</v>
          </cell>
          <cell r="J12">
            <v>32000</v>
          </cell>
          <cell r="K12">
            <v>41000</v>
          </cell>
          <cell r="L12">
            <v>60080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2"/>
  <sheetViews>
    <sheetView topLeftCell="A11" zoomScale="86" zoomScaleNormal="86" workbookViewId="0">
      <selection activeCell="J36" sqref="J36"/>
    </sheetView>
  </sheetViews>
  <sheetFormatPr baseColWidth="10" defaultRowHeight="15"/>
  <cols>
    <col min="1" max="1" width="3.28515625" style="28" customWidth="1"/>
    <col min="2" max="2" width="31.5703125" style="28" customWidth="1"/>
    <col min="3" max="3" width="15.7109375" style="28" customWidth="1"/>
    <col min="4" max="4" width="2.5703125" style="28" customWidth="1"/>
    <col min="5" max="5" width="3.42578125" style="28" customWidth="1"/>
    <col min="6" max="6" width="35" style="28" customWidth="1"/>
    <col min="7" max="7" width="15.85546875" style="28" customWidth="1"/>
    <col min="8" max="8" width="2.5703125" style="28" customWidth="1"/>
    <col min="9" max="9" width="16.7109375" style="28" customWidth="1"/>
    <col min="10" max="10" width="15.7109375" style="28" customWidth="1"/>
    <col min="11" max="16384" width="11.42578125" style="28"/>
  </cols>
  <sheetData>
    <row r="1" spans="1:10" ht="25.5" customHeight="1">
      <c r="A1" s="612" t="s">
        <v>98</v>
      </c>
      <c r="B1" s="612"/>
      <c r="C1" s="613" t="s">
        <v>190</v>
      </c>
      <c r="D1" s="614"/>
      <c r="E1" s="614"/>
      <c r="F1" s="614"/>
      <c r="G1" s="614"/>
      <c r="H1" s="614"/>
      <c r="I1" s="617" t="s">
        <v>191</v>
      </c>
      <c r="J1" s="617"/>
    </row>
    <row r="2" spans="1:10" ht="27" customHeight="1">
      <c r="A2" s="612"/>
      <c r="B2" s="612"/>
      <c r="C2" s="615"/>
      <c r="D2" s="616"/>
      <c r="E2" s="616"/>
      <c r="F2" s="616"/>
      <c r="G2" s="616"/>
      <c r="H2" s="616"/>
      <c r="I2" s="617" t="s">
        <v>95</v>
      </c>
      <c r="J2" s="617"/>
    </row>
    <row r="3" spans="1:10" ht="27" customHeight="1">
      <c r="A3" s="612"/>
      <c r="B3" s="612"/>
      <c r="C3" s="619" t="s">
        <v>192</v>
      </c>
      <c r="D3" s="620"/>
      <c r="E3" s="620"/>
      <c r="F3" s="620"/>
      <c r="G3" s="620"/>
      <c r="H3" s="621"/>
      <c r="I3" s="618">
        <v>41948</v>
      </c>
      <c r="J3" s="618"/>
    </row>
    <row r="5" spans="1:10" ht="17.25" customHeight="1">
      <c r="A5" s="16" t="s">
        <v>118</v>
      </c>
      <c r="B5" s="609" t="s">
        <v>121</v>
      </c>
      <c r="C5" s="610"/>
      <c r="E5" s="28" t="s">
        <v>127</v>
      </c>
      <c r="F5" s="611" t="s">
        <v>126</v>
      </c>
      <c r="G5" s="611"/>
      <c r="I5" s="609" t="s">
        <v>105</v>
      </c>
      <c r="J5" s="610"/>
    </row>
    <row r="6" spans="1:10" ht="17.25" customHeight="1">
      <c r="A6" s="16"/>
      <c r="B6" s="14" t="s">
        <v>108</v>
      </c>
      <c r="C6" s="17">
        <v>5214363</v>
      </c>
      <c r="F6" s="1" t="s">
        <v>103</v>
      </c>
      <c r="G6" s="32">
        <v>2221051.1138749602</v>
      </c>
      <c r="I6" s="1" t="s">
        <v>144</v>
      </c>
      <c r="J6" s="15">
        <v>0.12</v>
      </c>
    </row>
    <row r="7" spans="1:10" ht="17.25" customHeight="1">
      <c r="A7" s="16"/>
      <c r="B7" s="1" t="s">
        <v>140</v>
      </c>
      <c r="C7" s="11">
        <f>C6*J16</f>
        <v>2756225.2019378999</v>
      </c>
      <c r="F7" s="1" t="s">
        <v>140</v>
      </c>
      <c r="G7" s="11">
        <f>G6*J16</f>
        <v>1174010.5272407022</v>
      </c>
      <c r="I7" s="1" t="s">
        <v>109</v>
      </c>
      <c r="J7" s="15">
        <v>8.5000000000000006E-2</v>
      </c>
    </row>
    <row r="8" spans="1:10" ht="17.25" customHeight="1">
      <c r="A8" s="16"/>
      <c r="B8" s="1" t="s">
        <v>106</v>
      </c>
      <c r="C8" s="11">
        <f>SUM(C6:C7)</f>
        <v>7970588.2019378999</v>
      </c>
      <c r="F8" s="1" t="s">
        <v>106</v>
      </c>
      <c r="G8" s="11">
        <f>SUM(G6:G7)</f>
        <v>3395061.6411156626</v>
      </c>
      <c r="I8" s="1" t="s">
        <v>110</v>
      </c>
      <c r="J8" s="15">
        <v>2.4400000000000002E-2</v>
      </c>
    </row>
    <row r="9" spans="1:10" ht="18.75" customHeight="1">
      <c r="A9" s="16"/>
      <c r="B9" s="1" t="s">
        <v>107</v>
      </c>
      <c r="C9" s="1">
        <v>240</v>
      </c>
      <c r="F9" s="1" t="s">
        <v>107</v>
      </c>
      <c r="G9" s="1">
        <v>240</v>
      </c>
      <c r="I9" s="1" t="s">
        <v>113</v>
      </c>
      <c r="J9" s="15">
        <v>0.04</v>
      </c>
    </row>
    <row r="10" spans="1:10" ht="18.75" customHeight="1">
      <c r="A10" s="16"/>
      <c r="B10" s="12" t="s">
        <v>347</v>
      </c>
      <c r="C10" s="13">
        <f>C11*8</f>
        <v>265686.27339793002</v>
      </c>
      <c r="F10" s="12" t="s">
        <v>347</v>
      </c>
      <c r="G10" s="13">
        <f>G11*8</f>
        <v>113168.72137052209</v>
      </c>
      <c r="I10" s="1" t="s">
        <v>114</v>
      </c>
      <c r="J10" s="15">
        <v>0.02</v>
      </c>
    </row>
    <row r="11" spans="1:10">
      <c r="A11" s="16"/>
      <c r="B11" s="12" t="s">
        <v>134</v>
      </c>
      <c r="C11" s="13">
        <f>C8/C9</f>
        <v>33210.784174741253</v>
      </c>
      <c r="F11" s="12" t="s">
        <v>147</v>
      </c>
      <c r="G11" s="13">
        <f>G8/G9</f>
        <v>14146.090171315262</v>
      </c>
      <c r="I11" s="1" t="s">
        <v>115</v>
      </c>
      <c r="J11" s="15">
        <v>0.03</v>
      </c>
    </row>
    <row r="12" spans="1:10">
      <c r="I12" s="1" t="s">
        <v>111</v>
      </c>
      <c r="J12" s="15">
        <v>8.3299999999999999E-2</v>
      </c>
    </row>
    <row r="13" spans="1:10">
      <c r="A13" s="16" t="s">
        <v>119</v>
      </c>
      <c r="B13" s="611" t="s">
        <v>122</v>
      </c>
      <c r="C13" s="611"/>
      <c r="E13" s="28" t="s">
        <v>128</v>
      </c>
      <c r="F13" s="611" t="s">
        <v>243</v>
      </c>
      <c r="G13" s="611"/>
      <c r="I13" s="1" t="s">
        <v>112</v>
      </c>
      <c r="J13" s="15">
        <v>8.3299999999999999E-2</v>
      </c>
    </row>
    <row r="14" spans="1:10">
      <c r="A14" s="16"/>
      <c r="B14" s="1" t="s">
        <v>101</v>
      </c>
      <c r="C14" s="32">
        <v>4884821</v>
      </c>
      <c r="F14" s="1" t="s">
        <v>132</v>
      </c>
      <c r="G14" s="11">
        <v>2592992.8622288546</v>
      </c>
      <c r="I14" s="1" t="s">
        <v>116</v>
      </c>
      <c r="J14" s="15">
        <v>4.1700000000000001E-2</v>
      </c>
    </row>
    <row r="15" spans="1:10">
      <c r="A15" s="16"/>
      <c r="B15" s="1" t="s">
        <v>140</v>
      </c>
      <c r="C15" s="11">
        <f>C14*J16</f>
        <v>2582034.8040892999</v>
      </c>
      <c r="F15" s="1" t="s">
        <v>140</v>
      </c>
      <c r="G15" s="11">
        <f>G14*$J$16</f>
        <v>1370612.7239933733</v>
      </c>
      <c r="I15" s="1" t="s">
        <v>117</v>
      </c>
      <c r="J15" s="15">
        <v>8.8329999999999995E-4</v>
      </c>
    </row>
    <row r="16" spans="1:10" ht="30">
      <c r="A16" s="16"/>
      <c r="B16" s="1" t="s">
        <v>106</v>
      </c>
      <c r="C16" s="11">
        <f>SUM(C14:C15)</f>
        <v>7466855.8040893003</v>
      </c>
      <c r="F16" s="1" t="s">
        <v>106</v>
      </c>
      <c r="G16" s="11">
        <f>SUM(G14:G15)</f>
        <v>3963605.5862222277</v>
      </c>
      <c r="I16" s="319" t="s">
        <v>145</v>
      </c>
      <c r="J16" s="320">
        <f>SUM(J6:J15)</f>
        <v>0.52858329999999998</v>
      </c>
    </row>
    <row r="17" spans="1:10" ht="15" customHeight="1">
      <c r="A17" s="16"/>
      <c r="B17" s="1" t="s">
        <v>107</v>
      </c>
      <c r="C17" s="1">
        <v>240</v>
      </c>
      <c r="F17" s="1" t="s">
        <v>107</v>
      </c>
      <c r="G17" s="1">
        <v>240</v>
      </c>
      <c r="I17" s="321"/>
      <c r="J17" s="322"/>
    </row>
    <row r="18" spans="1:10">
      <c r="A18" s="16"/>
      <c r="B18" s="12" t="s">
        <v>347</v>
      </c>
      <c r="C18" s="13">
        <f>C19*8</f>
        <v>248895.19346964333</v>
      </c>
      <c r="F18" s="12" t="s">
        <v>347</v>
      </c>
      <c r="G18" s="13">
        <f>G19*8</f>
        <v>132120.18620740759</v>
      </c>
      <c r="I18" s="323"/>
      <c r="J18" s="324"/>
    </row>
    <row r="19" spans="1:10">
      <c r="B19" s="12" t="s">
        <v>135</v>
      </c>
      <c r="C19" s="13">
        <f>C16/C17</f>
        <v>31111.899183705416</v>
      </c>
      <c r="F19" s="12" t="s">
        <v>148</v>
      </c>
      <c r="G19" s="13">
        <f>G16/G17</f>
        <v>16515.023275925949</v>
      </c>
    </row>
    <row r="20" spans="1:10">
      <c r="A20" s="16"/>
    </row>
    <row r="21" spans="1:10">
      <c r="A21" s="16" t="s">
        <v>120</v>
      </c>
      <c r="B21" s="611" t="s">
        <v>123</v>
      </c>
      <c r="C21" s="611"/>
      <c r="E21" s="28" t="s">
        <v>129</v>
      </c>
      <c r="F21" s="611" t="s">
        <v>244</v>
      </c>
      <c r="G21" s="611"/>
    </row>
    <row r="22" spans="1:10">
      <c r="A22" s="16"/>
      <c r="B22" s="1" t="s">
        <v>102</v>
      </c>
      <c r="C22" s="32">
        <v>3162468</v>
      </c>
      <c r="F22" s="14" t="s">
        <v>104</v>
      </c>
      <c r="G22" s="11">
        <v>1915275.1687688171</v>
      </c>
    </row>
    <row r="23" spans="1:10">
      <c r="A23" s="16"/>
      <c r="B23" s="1" t="s">
        <v>140</v>
      </c>
      <c r="C23" s="11">
        <f>C22*$J$16</f>
        <v>1671627.7715844</v>
      </c>
      <c r="F23" s="1" t="s">
        <v>140</v>
      </c>
      <c r="G23" s="11">
        <f>G22*J16</f>
        <v>1012382.4691158782</v>
      </c>
    </row>
    <row r="24" spans="1:10">
      <c r="A24" s="16"/>
      <c r="B24" s="1" t="s">
        <v>106</v>
      </c>
      <c r="C24" s="11">
        <f>SUM(C22:C23)</f>
        <v>4834095.7715844</v>
      </c>
      <c r="F24" s="1" t="s">
        <v>106</v>
      </c>
      <c r="G24" s="11">
        <f>SUM(G22:G23)</f>
        <v>2927657.6378846951</v>
      </c>
    </row>
    <row r="25" spans="1:10">
      <c r="A25" s="16"/>
      <c r="B25" s="1" t="s">
        <v>107</v>
      </c>
      <c r="C25" s="1">
        <v>240</v>
      </c>
      <c r="F25" s="1" t="s">
        <v>107</v>
      </c>
      <c r="G25" s="1">
        <v>240</v>
      </c>
    </row>
    <row r="26" spans="1:10">
      <c r="A26" s="16"/>
      <c r="B26" s="12" t="s">
        <v>347</v>
      </c>
      <c r="C26" s="13">
        <f>C27*8</f>
        <v>161136.52571948001</v>
      </c>
      <c r="F26" s="12" t="s">
        <v>347</v>
      </c>
      <c r="G26" s="13">
        <f>G27*8</f>
        <v>97588.587929489833</v>
      </c>
    </row>
    <row r="27" spans="1:10">
      <c r="A27" s="16"/>
      <c r="B27" s="12" t="s">
        <v>136</v>
      </c>
      <c r="C27" s="13">
        <f>C24/C25</f>
        <v>20142.065714935001</v>
      </c>
      <c r="F27" s="12" t="s">
        <v>151</v>
      </c>
      <c r="G27" s="13">
        <f>G24/G25</f>
        <v>12198.573491186229</v>
      </c>
    </row>
    <row r="28" spans="1:10">
      <c r="A28" s="16"/>
    </row>
    <row r="29" spans="1:10">
      <c r="A29" s="16" t="s">
        <v>141</v>
      </c>
      <c r="B29" s="611" t="s">
        <v>131</v>
      </c>
      <c r="C29" s="611"/>
      <c r="E29" s="28" t="s">
        <v>143</v>
      </c>
      <c r="F29" s="611" t="s">
        <v>138</v>
      </c>
      <c r="G29" s="611"/>
    </row>
    <row r="30" spans="1:10">
      <c r="A30" s="16"/>
      <c r="B30" s="1" t="s">
        <v>139</v>
      </c>
      <c r="C30" s="32">
        <v>1100000</v>
      </c>
      <c r="F30" s="1" t="s">
        <v>146</v>
      </c>
      <c r="G30" s="32">
        <v>1500000</v>
      </c>
    </row>
    <row r="31" spans="1:10">
      <c r="A31" s="16"/>
      <c r="B31" s="1" t="s">
        <v>140</v>
      </c>
      <c r="C31" s="11">
        <f>C30*$J$16</f>
        <v>581441.63</v>
      </c>
      <c r="F31" s="1" t="s">
        <v>140</v>
      </c>
      <c r="G31" s="11">
        <f>G30*$J$16</f>
        <v>792874.95</v>
      </c>
    </row>
    <row r="32" spans="1:10">
      <c r="A32" s="16"/>
      <c r="B32" s="1" t="s">
        <v>106</v>
      </c>
      <c r="C32" s="11">
        <f>SUM(C30:C31)</f>
        <v>1681441.63</v>
      </c>
      <c r="F32" s="1" t="s">
        <v>106</v>
      </c>
      <c r="G32" s="11">
        <f>SUM(G30:G31)</f>
        <v>2292874.9500000002</v>
      </c>
    </row>
    <row r="33" spans="1:7">
      <c r="A33" s="16"/>
      <c r="B33" s="1" t="s">
        <v>107</v>
      </c>
      <c r="C33" s="1">
        <v>240</v>
      </c>
      <c r="F33" s="1" t="s">
        <v>107</v>
      </c>
      <c r="G33" s="1">
        <v>240</v>
      </c>
    </row>
    <row r="34" spans="1:7">
      <c r="A34" s="16"/>
      <c r="B34" s="12" t="s">
        <v>347</v>
      </c>
      <c r="C34" s="13">
        <f>C35*8</f>
        <v>56048.054333333326</v>
      </c>
      <c r="F34" s="12" t="s">
        <v>347</v>
      </c>
      <c r="G34" s="13">
        <f>G35*8</f>
        <v>76429.165000000008</v>
      </c>
    </row>
    <row r="35" spans="1:7">
      <c r="A35" s="16"/>
      <c r="B35" s="12" t="s">
        <v>150</v>
      </c>
      <c r="C35" s="13">
        <f>C32/C33</f>
        <v>7006.0067916666658</v>
      </c>
      <c r="F35" s="12" t="s">
        <v>152</v>
      </c>
      <c r="G35" s="13">
        <f>G32/G33</f>
        <v>9553.645625000001</v>
      </c>
    </row>
    <row r="36" spans="1:7">
      <c r="A36" s="16"/>
    </row>
    <row r="37" spans="1:7">
      <c r="A37" s="16" t="s">
        <v>142</v>
      </c>
      <c r="B37" s="611" t="s">
        <v>175</v>
      </c>
      <c r="C37" s="611"/>
      <c r="E37" s="28" t="s">
        <v>153</v>
      </c>
      <c r="F37" s="611" t="s">
        <v>130</v>
      </c>
      <c r="G37" s="611"/>
    </row>
    <row r="38" spans="1:7">
      <c r="A38" s="16"/>
      <c r="B38" s="1" t="s">
        <v>139</v>
      </c>
      <c r="C38" s="32">
        <v>2812292</v>
      </c>
      <c r="F38" s="1" t="s">
        <v>133</v>
      </c>
      <c r="G38" s="32">
        <v>1589906.4372640699</v>
      </c>
    </row>
    <row r="39" spans="1:7">
      <c r="A39" s="16"/>
      <c r="B39" s="1" t="s">
        <v>140</v>
      </c>
      <c r="C39" s="11">
        <f>C38*$J$16</f>
        <v>1486530.5859236</v>
      </c>
      <c r="F39" s="1" t="s">
        <v>140</v>
      </c>
      <c r="G39" s="11">
        <f>G38*J16</f>
        <v>840397.99130028498</v>
      </c>
    </row>
    <row r="40" spans="1:7">
      <c r="A40" s="16"/>
      <c r="B40" s="1" t="s">
        <v>106</v>
      </c>
      <c r="C40" s="11">
        <f>SUM(C38:C39)</f>
        <v>4298822.5859236</v>
      </c>
      <c r="F40" s="1" t="s">
        <v>106</v>
      </c>
      <c r="G40" s="11">
        <f>SUM(G38:G39)</f>
        <v>2430304.4285643548</v>
      </c>
    </row>
    <row r="41" spans="1:7">
      <c r="A41" s="16"/>
      <c r="B41" s="1" t="s">
        <v>107</v>
      </c>
      <c r="C41" s="1">
        <v>240</v>
      </c>
      <c r="F41" s="1" t="s">
        <v>107</v>
      </c>
      <c r="G41" s="1">
        <v>240</v>
      </c>
    </row>
    <row r="42" spans="1:7">
      <c r="A42" s="16"/>
      <c r="B42" s="12" t="s">
        <v>347</v>
      </c>
      <c r="C42" s="13">
        <f>C43*8</f>
        <v>143294.08619745335</v>
      </c>
      <c r="F42" s="12" t="s">
        <v>347</v>
      </c>
      <c r="G42" s="13">
        <f>G43*8</f>
        <v>81010.147618811825</v>
      </c>
    </row>
    <row r="43" spans="1:7">
      <c r="A43" s="16"/>
      <c r="B43" s="12" t="s">
        <v>154</v>
      </c>
      <c r="C43" s="13">
        <f>C40/C41</f>
        <v>17911.760774681668</v>
      </c>
      <c r="F43" s="12" t="s">
        <v>149</v>
      </c>
      <c r="G43" s="13">
        <f>G40/G41</f>
        <v>10126.268452351478</v>
      </c>
    </row>
    <row r="44" spans="1:7">
      <c r="A44" s="16"/>
    </row>
    <row r="45" spans="1:7">
      <c r="A45" s="16" t="s">
        <v>124</v>
      </c>
      <c r="B45" s="609" t="s">
        <v>242</v>
      </c>
      <c r="C45" s="610"/>
      <c r="E45" s="28" t="s">
        <v>176</v>
      </c>
      <c r="F45" s="18" t="s">
        <v>273</v>
      </c>
      <c r="G45" s="19"/>
    </row>
    <row r="46" spans="1:7">
      <c r="A46" s="16"/>
      <c r="B46" s="14" t="s">
        <v>125</v>
      </c>
      <c r="C46" s="32">
        <v>3000000</v>
      </c>
      <c r="F46" s="14" t="s">
        <v>125</v>
      </c>
      <c r="G46" s="17">
        <v>8600820</v>
      </c>
    </row>
    <row r="47" spans="1:7">
      <c r="A47" s="16"/>
      <c r="B47" s="1" t="s">
        <v>140</v>
      </c>
      <c r="C47" s="11">
        <f>C46*J16</f>
        <v>1585749.9</v>
      </c>
      <c r="F47" s="1" t="s">
        <v>140</v>
      </c>
      <c r="G47" s="11">
        <f>J16*G46</f>
        <v>4546249.818306</v>
      </c>
    </row>
    <row r="48" spans="1:7">
      <c r="A48" s="16"/>
      <c r="B48" s="1" t="s">
        <v>106</v>
      </c>
      <c r="C48" s="11">
        <f>SUM(C46:C47)</f>
        <v>4585749.9000000004</v>
      </c>
      <c r="F48" s="1" t="s">
        <v>106</v>
      </c>
      <c r="G48" s="11">
        <f>SUM(G46:G47)</f>
        <v>13147069.818305999</v>
      </c>
    </row>
    <row r="49" spans="1:7">
      <c r="A49" s="16"/>
      <c r="B49" s="1" t="s">
        <v>107</v>
      </c>
      <c r="C49" s="1">
        <v>240</v>
      </c>
      <c r="F49" s="1" t="s">
        <v>107</v>
      </c>
      <c r="G49" s="1">
        <v>240</v>
      </c>
    </row>
    <row r="50" spans="1:7">
      <c r="A50" s="16"/>
      <c r="B50" s="12" t="s">
        <v>347</v>
      </c>
      <c r="C50" s="13">
        <f>C51*8</f>
        <v>152858.33000000002</v>
      </c>
      <c r="F50" s="12" t="s">
        <v>347</v>
      </c>
      <c r="G50" s="13">
        <f>G51*8</f>
        <v>438235.66061019996</v>
      </c>
    </row>
    <row r="51" spans="1:7" ht="30">
      <c r="A51" s="16"/>
      <c r="B51" s="26" t="s">
        <v>137</v>
      </c>
      <c r="C51" s="27">
        <f>C48/C49</f>
        <v>19107.291250000002</v>
      </c>
      <c r="F51" s="26" t="s">
        <v>137</v>
      </c>
      <c r="G51" s="27">
        <f>G48/G49</f>
        <v>54779.457576274996</v>
      </c>
    </row>
    <row r="53" spans="1:7">
      <c r="A53" s="16"/>
      <c r="E53" s="28" t="s">
        <v>329</v>
      </c>
      <c r="F53" s="127" t="s">
        <v>330</v>
      </c>
      <c r="G53" s="128"/>
    </row>
    <row r="54" spans="1:7">
      <c r="A54" s="16"/>
      <c r="F54" s="14" t="s">
        <v>125</v>
      </c>
      <c r="G54" s="17">
        <v>3699766.3816694599</v>
      </c>
    </row>
    <row r="55" spans="1:7">
      <c r="A55" s="16"/>
      <c r="F55" s="1" t="s">
        <v>140</v>
      </c>
      <c r="G55" s="11">
        <f>G54*J16</f>
        <v>1955634.7232519025</v>
      </c>
    </row>
    <row r="56" spans="1:7">
      <c r="A56" s="16"/>
      <c r="F56" s="1" t="s">
        <v>106</v>
      </c>
      <c r="G56" s="11">
        <f>SUM(G54:G55)</f>
        <v>5655401.1049213624</v>
      </c>
    </row>
    <row r="57" spans="1:7">
      <c r="A57" s="16"/>
      <c r="F57" s="1" t="s">
        <v>107</v>
      </c>
      <c r="G57" s="1">
        <v>240</v>
      </c>
    </row>
    <row r="58" spans="1:7">
      <c r="A58" s="16"/>
      <c r="F58" s="12" t="s">
        <v>347</v>
      </c>
      <c r="G58" s="13">
        <f>G59*8</f>
        <v>188513.37016404542</v>
      </c>
    </row>
    <row r="59" spans="1:7">
      <c r="A59" s="16"/>
      <c r="F59" s="26" t="s">
        <v>137</v>
      </c>
      <c r="G59" s="27">
        <f>G56/G57</f>
        <v>23564.171270505678</v>
      </c>
    </row>
    <row r="60" spans="1:7">
      <c r="A60" s="16"/>
    </row>
    <row r="61" spans="1:7">
      <c r="A61" s="16"/>
    </row>
    <row r="62" spans="1:7">
      <c r="A62" s="16"/>
    </row>
    <row r="63" spans="1:7">
      <c r="A63" s="16"/>
    </row>
    <row r="64" spans="1:7">
      <c r="A64" s="16"/>
    </row>
    <row r="65" spans="1:1">
      <c r="A65" s="16"/>
    </row>
    <row r="66" spans="1:1">
      <c r="A66" s="16"/>
    </row>
    <row r="67" spans="1:1">
      <c r="A67" s="16"/>
    </row>
    <row r="68" spans="1:1">
      <c r="A68" s="16"/>
    </row>
    <row r="69" spans="1:1">
      <c r="A69" s="16"/>
    </row>
    <row r="70" spans="1:1">
      <c r="A70" s="16"/>
    </row>
    <row r="71" spans="1:1">
      <c r="A71" s="16"/>
    </row>
    <row r="72" spans="1:1">
      <c r="A72" s="16"/>
    </row>
  </sheetData>
  <mergeCells count="18">
    <mergeCell ref="I5:J5"/>
    <mergeCell ref="B13:C13"/>
    <mergeCell ref="A1:B3"/>
    <mergeCell ref="B5:C5"/>
    <mergeCell ref="C1:H2"/>
    <mergeCell ref="I1:J1"/>
    <mergeCell ref="I2:J2"/>
    <mergeCell ref="I3:J3"/>
    <mergeCell ref="C3:H3"/>
    <mergeCell ref="B45:C45"/>
    <mergeCell ref="B37:C37"/>
    <mergeCell ref="B21:C21"/>
    <mergeCell ref="F5:G5"/>
    <mergeCell ref="F13:G13"/>
    <mergeCell ref="F21:G21"/>
    <mergeCell ref="F37:G37"/>
    <mergeCell ref="B29:C29"/>
    <mergeCell ref="F29:G29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V501"/>
  <sheetViews>
    <sheetView tabSelected="1" zoomScale="82" zoomScaleNormal="82" workbookViewId="0">
      <pane ySplit="6" topLeftCell="A7" activePane="bottomLeft" state="frozen"/>
      <selection activeCell="F29" sqref="F29"/>
      <selection pane="bottomLeft" activeCell="H204" sqref="H204"/>
    </sheetView>
  </sheetViews>
  <sheetFormatPr baseColWidth="10" defaultRowHeight="15"/>
  <cols>
    <col min="1" max="2" width="2.42578125" customWidth="1"/>
    <col min="3" max="3" width="48.42578125" customWidth="1"/>
    <col min="4" max="4" width="17.7109375" customWidth="1"/>
    <col min="5" max="5" width="16.140625" customWidth="1"/>
    <col min="6" max="6" width="15.7109375" customWidth="1"/>
    <col min="7" max="7" width="18.7109375" customWidth="1"/>
    <col min="8" max="8" width="16.7109375" customWidth="1"/>
    <col min="9" max="9" width="15.7109375" customWidth="1"/>
    <col min="10" max="10" width="16.7109375" customWidth="1"/>
    <col min="11" max="11" width="16.5703125" customWidth="1"/>
    <col min="12" max="12" width="17.85546875" customWidth="1"/>
    <col min="13" max="13" width="16.85546875" customWidth="1"/>
    <col min="14" max="14" width="15.85546875" customWidth="1"/>
    <col min="15" max="15" width="17.5703125" customWidth="1"/>
    <col min="16" max="16" width="21.5703125" customWidth="1"/>
    <col min="17" max="17" width="34.7109375" customWidth="1"/>
  </cols>
  <sheetData>
    <row r="1" spans="1:17" s="28" customFormat="1">
      <c r="A1" s="849" t="s">
        <v>378</v>
      </c>
      <c r="B1" s="850"/>
      <c r="C1" s="851"/>
    </row>
    <row r="2" spans="1:17" s="28" customFormat="1" ht="15.75" thickBot="1">
      <c r="A2" s="852" t="s">
        <v>379</v>
      </c>
      <c r="B2" s="853"/>
      <c r="C2" s="854"/>
    </row>
    <row r="3" spans="1:17" ht="15" customHeight="1">
      <c r="A3" s="663" t="s">
        <v>181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5"/>
    </row>
    <row r="4" spans="1:17" ht="15" customHeight="1" thickBot="1">
      <c r="A4" s="666"/>
      <c r="B4" s="667"/>
      <c r="C4" s="667"/>
      <c r="D4" s="667"/>
      <c r="E4" s="667"/>
      <c r="F4" s="667"/>
      <c r="G4" s="667"/>
      <c r="H4" s="667"/>
      <c r="I4" s="667"/>
      <c r="J4" s="667"/>
      <c r="K4" s="667"/>
      <c r="L4" s="667"/>
      <c r="M4" s="667"/>
      <c r="N4" s="667"/>
      <c r="O4" s="667"/>
      <c r="P4" s="667"/>
      <c r="Q4" s="668"/>
    </row>
    <row r="5" spans="1:17" ht="19.5" customHeight="1" thickBot="1">
      <c r="A5" s="709" t="s">
        <v>31</v>
      </c>
      <c r="B5" s="710"/>
      <c r="C5" s="711"/>
      <c r="D5" s="117" t="s">
        <v>0</v>
      </c>
      <c r="E5" s="230" t="s">
        <v>1</v>
      </c>
      <c r="F5" s="230" t="s">
        <v>2</v>
      </c>
      <c r="G5" s="230" t="s">
        <v>3</v>
      </c>
      <c r="H5" s="231" t="s">
        <v>4</v>
      </c>
      <c r="I5" s="238" t="s">
        <v>5</v>
      </c>
      <c r="J5" s="117" t="s">
        <v>6</v>
      </c>
      <c r="K5" s="230" t="s">
        <v>7</v>
      </c>
      <c r="L5" s="230" t="s">
        <v>8</v>
      </c>
      <c r="M5" s="231" t="s">
        <v>168</v>
      </c>
      <c r="N5" s="117" t="s">
        <v>169</v>
      </c>
      <c r="O5" s="231" t="s">
        <v>170</v>
      </c>
      <c r="P5" s="712" t="s">
        <v>94</v>
      </c>
      <c r="Q5" s="713"/>
    </row>
    <row r="6" spans="1:17" s="5" customFormat="1" ht="20.25" customHeight="1" thickBot="1">
      <c r="A6" s="660" t="s">
        <v>178</v>
      </c>
      <c r="B6" s="661"/>
      <c r="C6" s="662"/>
      <c r="D6" s="714" t="s">
        <v>392</v>
      </c>
      <c r="E6" s="715"/>
      <c r="F6" s="715"/>
      <c r="G6" s="715"/>
      <c r="H6" s="429">
        <v>2</v>
      </c>
      <c r="I6" s="252">
        <v>3</v>
      </c>
      <c r="J6" s="733">
        <v>4</v>
      </c>
      <c r="K6" s="734"/>
      <c r="L6" s="734"/>
      <c r="M6" s="735"/>
      <c r="N6" s="714">
        <v>5</v>
      </c>
      <c r="O6" s="732"/>
      <c r="P6" s="730"/>
      <c r="Q6" s="731"/>
    </row>
    <row r="7" spans="1:17" s="5" customFormat="1" ht="34.5" customHeight="1">
      <c r="A7" s="284"/>
      <c r="B7" s="285"/>
      <c r="C7" s="339" t="s">
        <v>242</v>
      </c>
      <c r="D7" s="340">
        <f>'02-HH-2014'!$C$50*$H$6</f>
        <v>305716.66000000003</v>
      </c>
      <c r="E7" s="341">
        <f>'02-HH-2014'!$C$50*$H$6</f>
        <v>305716.66000000003</v>
      </c>
      <c r="F7" s="341">
        <f>'02-HH-2014'!$C$50*$H$6</f>
        <v>305716.66000000003</v>
      </c>
      <c r="G7" s="341">
        <f>'02-HH-2014'!$C$50*$H$6</f>
        <v>305716.66000000003</v>
      </c>
      <c r="H7" s="342">
        <f>'02-HH-2014'!$C$50*$H$6</f>
        <v>305716.66000000003</v>
      </c>
      <c r="I7" s="343">
        <f>'02-HH-2014'!$C$50*I6</f>
        <v>458574.99000000005</v>
      </c>
      <c r="J7" s="340">
        <f>'02-HH-2014'!$C$50*$J$6</f>
        <v>611433.32000000007</v>
      </c>
      <c r="K7" s="341">
        <f>'02-HH-2014'!$C$50*$J$6</f>
        <v>611433.32000000007</v>
      </c>
      <c r="L7" s="341">
        <f>'02-HH-2014'!$C$50*$J$6</f>
        <v>611433.32000000007</v>
      </c>
      <c r="M7" s="342">
        <f>'02-HH-2014'!$C$50*$J$6</f>
        <v>611433.32000000007</v>
      </c>
      <c r="N7" s="340">
        <f>'02-HH-2014'!$C$50*$N$6</f>
        <v>764291.65000000014</v>
      </c>
      <c r="O7" s="342">
        <f>'02-HH-2014'!$C$50*$N$6</f>
        <v>764291.65000000014</v>
      </c>
      <c r="P7" s="703" t="s">
        <v>332</v>
      </c>
      <c r="Q7" s="704"/>
    </row>
    <row r="8" spans="1:17" s="5" customFormat="1" ht="35.25" customHeight="1">
      <c r="A8" s="154"/>
      <c r="B8" s="152"/>
      <c r="C8" s="344" t="s">
        <v>241</v>
      </c>
      <c r="D8" s="286">
        <f>'02-HH-2014'!$G$18*$H$6</f>
        <v>264240.37241481518</v>
      </c>
      <c r="E8" s="153">
        <f>'02-HH-2014'!$G$18*$H$6</f>
        <v>264240.37241481518</v>
      </c>
      <c r="F8" s="153">
        <f>'02-HH-2014'!$G$18*$H$6</f>
        <v>264240.37241481518</v>
      </c>
      <c r="G8" s="153">
        <f>'02-HH-2014'!$G$18*$H$6</f>
        <v>264240.37241481518</v>
      </c>
      <c r="H8" s="287">
        <f>'02-HH-2014'!$G$18*$H$6</f>
        <v>264240.37241481518</v>
      </c>
      <c r="I8" s="286">
        <f>'02-HH-2014'!$G$18*I6</f>
        <v>396360.55862222274</v>
      </c>
      <c r="J8" s="286">
        <f>'02-HH-2014'!$G$18*$J$6</f>
        <v>528480.74482963036</v>
      </c>
      <c r="K8" s="153">
        <f>'02-HH-2014'!$G$18*$J$6</f>
        <v>528480.74482963036</v>
      </c>
      <c r="L8" s="153">
        <f>'02-HH-2014'!$G$18*$J$6</f>
        <v>528480.74482963036</v>
      </c>
      <c r="M8" s="287">
        <f>'02-HH-2014'!$G$18*$J$6</f>
        <v>528480.74482963036</v>
      </c>
      <c r="N8" s="286">
        <f>'02-HH-2014'!$G$18*$N$6</f>
        <v>660600.93103703798</v>
      </c>
      <c r="O8" s="287">
        <f>'02-HH-2014'!$G$18*$N$6</f>
        <v>660600.93103703798</v>
      </c>
      <c r="P8" s="705" t="s">
        <v>332</v>
      </c>
      <c r="Q8" s="706"/>
    </row>
    <row r="9" spans="1:17" s="5" customFormat="1" ht="35.25" customHeight="1">
      <c r="A9" s="151"/>
      <c r="B9" s="152"/>
      <c r="C9" s="344" t="s">
        <v>179</v>
      </c>
      <c r="D9" s="286">
        <f>'02-HH-2014'!$G$10*$H$6</f>
        <v>226337.44274104419</v>
      </c>
      <c r="E9" s="153">
        <f>'02-HH-2014'!$G$10*$H$6</f>
        <v>226337.44274104419</v>
      </c>
      <c r="F9" s="153">
        <f>'02-HH-2014'!$G$10*$H$6</f>
        <v>226337.44274104419</v>
      </c>
      <c r="G9" s="153">
        <f>'02-HH-2014'!$G$10*$H$6</f>
        <v>226337.44274104419</v>
      </c>
      <c r="H9" s="287">
        <f>'02-HH-2014'!$G$10*$H$6</f>
        <v>226337.44274104419</v>
      </c>
      <c r="I9" s="286">
        <f>'02-HH-2014'!$G$10*I6</f>
        <v>339506.16411156626</v>
      </c>
      <c r="J9" s="286">
        <f>'02-HH-2014'!$G$10*$J$6</f>
        <v>452674.88548208837</v>
      </c>
      <c r="K9" s="153">
        <f>'02-HH-2014'!$G$10*$J$6</f>
        <v>452674.88548208837</v>
      </c>
      <c r="L9" s="153">
        <f>'02-HH-2014'!$G$10*$J$6</f>
        <v>452674.88548208837</v>
      </c>
      <c r="M9" s="287">
        <f>'02-HH-2014'!$G$10*$J$6</f>
        <v>452674.88548208837</v>
      </c>
      <c r="N9" s="286">
        <f>'02-HH-2014'!$G$10*$N$6</f>
        <v>565843.60685261048</v>
      </c>
      <c r="O9" s="287">
        <f>'02-HH-2014'!$G$10*$N$6</f>
        <v>565843.60685261048</v>
      </c>
      <c r="P9" s="705" t="s">
        <v>332</v>
      </c>
      <c r="Q9" s="706"/>
    </row>
    <row r="10" spans="1:17" s="5" customFormat="1" ht="30.75" customHeight="1">
      <c r="A10" s="151"/>
      <c r="B10" s="152"/>
      <c r="C10" s="344" t="s">
        <v>138</v>
      </c>
      <c r="D10" s="286">
        <f>'02-HH-2014'!$G$34*$H$6</f>
        <v>152858.33000000002</v>
      </c>
      <c r="E10" s="153">
        <f>'02-HH-2014'!$G$34*$H$6</f>
        <v>152858.33000000002</v>
      </c>
      <c r="F10" s="153">
        <f>'02-HH-2014'!$G$34*$H$6</f>
        <v>152858.33000000002</v>
      </c>
      <c r="G10" s="153">
        <f>'02-HH-2014'!$G$34*$H$6</f>
        <v>152858.33000000002</v>
      </c>
      <c r="H10" s="287">
        <f>'02-HH-2014'!$G$34*$H$6</f>
        <v>152858.33000000002</v>
      </c>
      <c r="I10" s="286">
        <f>'02-HH-2014'!$G$34*$I$6</f>
        <v>229287.49500000002</v>
      </c>
      <c r="J10" s="286">
        <f>'02-HH-2014'!$G$34*$I$6</f>
        <v>229287.49500000002</v>
      </c>
      <c r="K10" s="153">
        <f>'02-HH-2014'!$G$34*$I$6</f>
        <v>229287.49500000002</v>
      </c>
      <c r="L10" s="153">
        <f>'02-HH-2014'!$G$34*$I$6</f>
        <v>229287.49500000002</v>
      </c>
      <c r="M10" s="287">
        <f>'02-HH-2014'!$G$34*$I$6</f>
        <v>229287.49500000002</v>
      </c>
      <c r="N10" s="286">
        <f>'02-HH-2014'!$G$34*$N$6</f>
        <v>382145.82500000007</v>
      </c>
      <c r="O10" s="287">
        <f>'02-HH-2014'!$G$34*$N$6</f>
        <v>382145.82500000007</v>
      </c>
      <c r="P10" s="705" t="s">
        <v>332</v>
      </c>
      <c r="Q10" s="706"/>
    </row>
    <row r="11" spans="1:17" s="5" customFormat="1" ht="30.75" customHeight="1">
      <c r="A11" s="151"/>
      <c r="B11" s="152"/>
      <c r="C11" s="344" t="s">
        <v>348</v>
      </c>
      <c r="D11" s="286">
        <f>'02-HH-2014'!$G$26*$H$6</f>
        <v>195177.17585897967</v>
      </c>
      <c r="E11" s="153">
        <f>'02-HH-2014'!$G$26*$H$6</f>
        <v>195177.17585897967</v>
      </c>
      <c r="F11" s="153">
        <f>'02-HH-2014'!$G$26*$H$6</f>
        <v>195177.17585897967</v>
      </c>
      <c r="G11" s="153">
        <f>'02-HH-2014'!$G$26*$H$6</f>
        <v>195177.17585897967</v>
      </c>
      <c r="H11" s="287">
        <f>'02-HH-2014'!$G$26*$H$6</f>
        <v>195177.17585897967</v>
      </c>
      <c r="I11" s="286">
        <f>'02-HH-2014'!$G$26*I6</f>
        <v>292765.76378846949</v>
      </c>
      <c r="J11" s="286">
        <f>'02-HH-2014'!$G$26*$J$6</f>
        <v>390354.35171795933</v>
      </c>
      <c r="K11" s="153">
        <f>'02-HH-2014'!$G$26*$J$6</f>
        <v>390354.35171795933</v>
      </c>
      <c r="L11" s="153">
        <f>'02-HH-2014'!$G$26*$J$6</f>
        <v>390354.35171795933</v>
      </c>
      <c r="M11" s="287">
        <f>'02-HH-2014'!$G$26*$J$6</f>
        <v>390354.35171795933</v>
      </c>
      <c r="N11" s="286">
        <f>'02-HH-2014'!$G$26*$N$6</f>
        <v>487942.93964744918</v>
      </c>
      <c r="O11" s="287">
        <f>'02-HH-2014'!$G$26*$N$6</f>
        <v>487942.93964744918</v>
      </c>
      <c r="P11" s="705" t="s">
        <v>332</v>
      </c>
      <c r="Q11" s="706"/>
    </row>
    <row r="12" spans="1:17" s="5" customFormat="1" ht="33.75" customHeight="1">
      <c r="A12" s="154"/>
      <c r="B12" s="152"/>
      <c r="C12" s="344" t="s">
        <v>180</v>
      </c>
      <c r="D12" s="286">
        <f>'02-HH-2014'!$G$42*$H$6</f>
        <v>162020.29523762365</v>
      </c>
      <c r="E12" s="153">
        <f>'02-HH-2014'!$G$42*$H$6</f>
        <v>162020.29523762365</v>
      </c>
      <c r="F12" s="153">
        <f>'02-HH-2014'!$G$42*$H$6</f>
        <v>162020.29523762365</v>
      </c>
      <c r="G12" s="153">
        <f>'02-HH-2014'!$G$42*$H$6</f>
        <v>162020.29523762365</v>
      </c>
      <c r="H12" s="287">
        <f>'02-HH-2014'!$G$42*$H$6</f>
        <v>162020.29523762365</v>
      </c>
      <c r="I12" s="286">
        <f>'02-HH-2014'!$G$42*I6</f>
        <v>243030.44285643549</v>
      </c>
      <c r="J12" s="286">
        <f>'02-HH-2014'!$G$42*$J$6</f>
        <v>324040.5904752473</v>
      </c>
      <c r="K12" s="153">
        <f>'02-HH-2014'!$G$42*$J$6</f>
        <v>324040.5904752473</v>
      </c>
      <c r="L12" s="153">
        <f>'02-HH-2014'!$G$42*$J$6</f>
        <v>324040.5904752473</v>
      </c>
      <c r="M12" s="287">
        <f>'02-HH-2014'!$G$42*$J$6</f>
        <v>324040.5904752473</v>
      </c>
      <c r="N12" s="286">
        <f>'02-HH-2014'!$G$42*$N$6</f>
        <v>405050.73809405911</v>
      </c>
      <c r="O12" s="287">
        <f>'02-HH-2014'!$G$42*$N$6</f>
        <v>405050.73809405911</v>
      </c>
      <c r="P12" s="705" t="s">
        <v>332</v>
      </c>
      <c r="Q12" s="706"/>
    </row>
    <row r="13" spans="1:17" s="28" customFormat="1" ht="15.75" customHeight="1" thickBot="1">
      <c r="A13" s="294"/>
      <c r="B13" s="295"/>
      <c r="C13" s="299" t="s">
        <v>331</v>
      </c>
      <c r="D13" s="236">
        <f t="shared" ref="D13:O13" si="0">SUM(D7:D12)</f>
        <v>1306350.2762524625</v>
      </c>
      <c r="E13" s="38">
        <f t="shared" si="0"/>
        <v>1306350.2762524625</v>
      </c>
      <c r="F13" s="38">
        <f t="shared" si="0"/>
        <v>1306350.2762524625</v>
      </c>
      <c r="G13" s="38">
        <f t="shared" si="0"/>
        <v>1306350.2762524625</v>
      </c>
      <c r="H13" s="237">
        <f t="shared" si="0"/>
        <v>1306350.2762524625</v>
      </c>
      <c r="I13" s="240">
        <f t="shared" si="0"/>
        <v>1959525.414378694</v>
      </c>
      <c r="J13" s="236">
        <f t="shared" si="0"/>
        <v>2536271.3875049255</v>
      </c>
      <c r="K13" s="38">
        <f t="shared" si="0"/>
        <v>2536271.3875049255</v>
      </c>
      <c r="L13" s="38">
        <f t="shared" si="0"/>
        <v>2536271.3875049255</v>
      </c>
      <c r="M13" s="237">
        <f t="shared" si="0"/>
        <v>2536271.3875049255</v>
      </c>
      <c r="N13" s="236">
        <f t="shared" si="0"/>
        <v>3265875.6906311573</v>
      </c>
      <c r="O13" s="237">
        <f t="shared" si="0"/>
        <v>3265875.6906311573</v>
      </c>
      <c r="P13" s="289"/>
      <c r="Q13" s="141"/>
    </row>
    <row r="14" spans="1:17" s="28" customFormat="1"/>
    <row r="15" spans="1:17" s="28" customFormat="1" ht="15.75" thickBot="1"/>
    <row r="16" spans="1:17" s="28" customFormat="1">
      <c r="A16" s="663" t="s">
        <v>357</v>
      </c>
      <c r="B16" s="664"/>
      <c r="C16" s="664"/>
      <c r="D16" s="664"/>
      <c r="E16" s="664"/>
      <c r="F16" s="664"/>
      <c r="G16" s="664"/>
      <c r="H16" s="664"/>
      <c r="I16" s="664"/>
      <c r="J16" s="664"/>
      <c r="K16" s="664"/>
      <c r="L16" s="664"/>
      <c r="M16" s="664"/>
      <c r="N16" s="664"/>
      <c r="O16" s="664"/>
      <c r="P16" s="664"/>
      <c r="Q16" s="665"/>
    </row>
    <row r="17" spans="1:22" s="28" customFormat="1" ht="15.75" thickBot="1">
      <c r="A17" s="666"/>
      <c r="B17" s="667"/>
      <c r="C17" s="667"/>
      <c r="D17" s="667"/>
      <c r="E17" s="667"/>
      <c r="F17" s="667"/>
      <c r="G17" s="667"/>
      <c r="H17" s="667"/>
      <c r="I17" s="667"/>
      <c r="J17" s="667"/>
      <c r="K17" s="667"/>
      <c r="L17" s="667"/>
      <c r="M17" s="667"/>
      <c r="N17" s="667"/>
      <c r="O17" s="667"/>
      <c r="P17" s="667"/>
      <c r="Q17" s="668"/>
    </row>
    <row r="18" spans="1:22" s="28" customFormat="1">
      <c r="A18" s="709" t="s">
        <v>31</v>
      </c>
      <c r="B18" s="710"/>
      <c r="C18" s="711"/>
      <c r="D18" s="117" t="s">
        <v>0</v>
      </c>
      <c r="E18" s="230" t="s">
        <v>1</v>
      </c>
      <c r="F18" s="230" t="s">
        <v>2</v>
      </c>
      <c r="G18" s="230" t="s">
        <v>3</v>
      </c>
      <c r="H18" s="292" t="s">
        <v>4</v>
      </c>
      <c r="I18" s="238" t="s">
        <v>5</v>
      </c>
      <c r="J18" s="117" t="s">
        <v>6</v>
      </c>
      <c r="K18" s="230" t="s">
        <v>7</v>
      </c>
      <c r="L18" s="230" t="s">
        <v>8</v>
      </c>
      <c r="M18" s="231" t="s">
        <v>168</v>
      </c>
      <c r="N18" s="117" t="s">
        <v>169</v>
      </c>
      <c r="O18" s="231" t="s">
        <v>170</v>
      </c>
      <c r="P18" s="673" t="s">
        <v>94</v>
      </c>
      <c r="Q18" s="670"/>
    </row>
    <row r="19" spans="1:22" s="28" customFormat="1" ht="24.75" customHeight="1" thickBot="1">
      <c r="A19" s="770" t="s">
        <v>178</v>
      </c>
      <c r="B19" s="771"/>
      <c r="C19" s="772"/>
      <c r="D19" s="714" t="s">
        <v>392</v>
      </c>
      <c r="E19" s="715"/>
      <c r="F19" s="715"/>
      <c r="G19" s="715"/>
      <c r="H19" s="432">
        <v>2</v>
      </c>
      <c r="I19" s="268">
        <v>3</v>
      </c>
      <c r="J19" s="680">
        <v>4</v>
      </c>
      <c r="K19" s="681"/>
      <c r="L19" s="681"/>
      <c r="M19" s="682"/>
      <c r="N19" s="773">
        <v>5</v>
      </c>
      <c r="O19" s="774"/>
      <c r="P19" s="775"/>
      <c r="Q19" s="776"/>
    </row>
    <row r="20" spans="1:22" s="28" customFormat="1" ht="29.25" customHeight="1">
      <c r="A20" s="347"/>
      <c r="B20" s="348"/>
      <c r="C20" s="349" t="s">
        <v>242</v>
      </c>
      <c r="D20" s="430">
        <f>'02-HH-2014'!$C$50*$H$19</f>
        <v>305716.66000000003</v>
      </c>
      <c r="E20" s="431">
        <f>'02-HH-2014'!$C$50*$H$19</f>
        <v>305716.66000000003</v>
      </c>
      <c r="F20" s="431">
        <f>'02-HH-2014'!$C$50*$H$19</f>
        <v>305716.66000000003</v>
      </c>
      <c r="G20" s="431">
        <f>'02-HH-2014'!$C$50*$H$19</f>
        <v>305716.66000000003</v>
      </c>
      <c r="H20" s="433">
        <f>'02-HH-2014'!$C$50*$H$19</f>
        <v>305716.66000000003</v>
      </c>
      <c r="I20" s="436">
        <f>'02-HH-2014'!$C$50*I19</f>
        <v>458574.99000000005</v>
      </c>
      <c r="J20" s="430">
        <f>'02-HH-2014'!$C$50*$J$19</f>
        <v>611433.32000000007</v>
      </c>
      <c r="K20" s="431">
        <f>'02-HH-2014'!$C$50*$J$19</f>
        <v>611433.32000000007</v>
      </c>
      <c r="L20" s="431">
        <f>'02-HH-2014'!$C$50*$J$19</f>
        <v>611433.32000000007</v>
      </c>
      <c r="M20" s="438">
        <f>'02-HH-2014'!$C$50*$J$19</f>
        <v>611433.32000000007</v>
      </c>
      <c r="N20" s="430">
        <f>'02-HH-2014'!$C$50*$N$19</f>
        <v>764291.65000000014</v>
      </c>
      <c r="O20" s="438">
        <f>'02-HH-2014'!$C$50*$N$19</f>
        <v>764291.65000000014</v>
      </c>
      <c r="P20" s="780" t="s">
        <v>332</v>
      </c>
      <c r="Q20" s="704"/>
    </row>
    <row r="21" spans="1:22" s="28" customFormat="1" ht="27" customHeight="1">
      <c r="A21" s="67"/>
      <c r="B21" s="36"/>
      <c r="C21" s="346" t="s">
        <v>241</v>
      </c>
      <c r="D21" s="113">
        <f>'02-HH-2014'!$G$18*$H$19</f>
        <v>264240.37241481518</v>
      </c>
      <c r="E21" s="35">
        <f>'02-HH-2014'!$G$18*$H$19</f>
        <v>264240.37241481518</v>
      </c>
      <c r="F21" s="35">
        <f>'02-HH-2014'!$G$18*$H$19</f>
        <v>264240.37241481518</v>
      </c>
      <c r="G21" s="35">
        <f>'02-HH-2014'!$G$18*$H$19</f>
        <v>264240.37241481518</v>
      </c>
      <c r="H21" s="64">
        <f>'02-HH-2014'!$G$18*$H$19</f>
        <v>264240.37241481518</v>
      </c>
      <c r="I21" s="437">
        <f>'02-HH-2014'!$G$18*$I$19</f>
        <v>396360.55862222274</v>
      </c>
      <c r="J21" s="113">
        <f>'02-HH-2014'!$G$18*$I$19</f>
        <v>396360.55862222274</v>
      </c>
      <c r="K21" s="35">
        <f>'02-HH-2014'!$G$18*$I$19</f>
        <v>396360.55862222274</v>
      </c>
      <c r="L21" s="35">
        <f>'02-HH-2014'!$G$18*$I$19</f>
        <v>396360.55862222274</v>
      </c>
      <c r="M21" s="345">
        <f>'02-HH-2014'!$G$18*$I$19</f>
        <v>396360.55862222274</v>
      </c>
      <c r="N21" s="113">
        <f>'02-HH-2014'!$G$18*$N$19</f>
        <v>660600.93103703798</v>
      </c>
      <c r="O21" s="345">
        <f>'02-HH-2014'!$G$18*$N$19</f>
        <v>660600.93103703798</v>
      </c>
      <c r="P21" s="781" t="s">
        <v>332</v>
      </c>
      <c r="Q21" s="706"/>
    </row>
    <row r="22" spans="1:22" s="28" customFormat="1" ht="28.5" customHeight="1">
      <c r="A22" s="67"/>
      <c r="B22" s="36"/>
      <c r="C22" s="346" t="s">
        <v>180</v>
      </c>
      <c r="D22" s="280">
        <f>'02-HH-2014'!$G$42*$H$19</f>
        <v>162020.29523762365</v>
      </c>
      <c r="E22" s="68">
        <f>'02-HH-2014'!$G$42*$H$19</f>
        <v>162020.29523762365</v>
      </c>
      <c r="F22" s="68">
        <f>'02-HH-2014'!$G$42*$H$19</f>
        <v>162020.29523762365</v>
      </c>
      <c r="G22" s="68">
        <f>'02-HH-2014'!$G$42*$H$19</f>
        <v>162020.29523762365</v>
      </c>
      <c r="H22" s="434">
        <f>'02-HH-2014'!$G$42*$H$19</f>
        <v>162020.29523762365</v>
      </c>
      <c r="I22" s="283">
        <f>'02-HH-2014'!$G$42*$I$19</f>
        <v>243030.44285643549</v>
      </c>
      <c r="J22" s="280">
        <f>'02-HH-2014'!$G$42*$I$19</f>
        <v>243030.44285643549</v>
      </c>
      <c r="K22" s="68">
        <f>'02-HH-2014'!$G$42*$I$19</f>
        <v>243030.44285643549</v>
      </c>
      <c r="L22" s="68">
        <f>'02-HH-2014'!$G$42*$I$19</f>
        <v>243030.44285643549</v>
      </c>
      <c r="M22" s="281">
        <f>'02-HH-2014'!$G$42*$I$19</f>
        <v>243030.44285643549</v>
      </c>
      <c r="N22" s="280">
        <f>'02-HH-2014'!$G$42*$N$19</f>
        <v>405050.73809405911</v>
      </c>
      <c r="O22" s="281">
        <f>'02-HH-2014'!$G$42*$N$19</f>
        <v>405050.73809405911</v>
      </c>
      <c r="P22" s="782" t="s">
        <v>247</v>
      </c>
      <c r="Q22" s="783"/>
    </row>
    <row r="23" spans="1:22" s="28" customFormat="1" ht="20.25" customHeight="1" thickBot="1">
      <c r="A23" s="654" t="s">
        <v>358</v>
      </c>
      <c r="B23" s="655"/>
      <c r="C23" s="779"/>
      <c r="D23" s="236">
        <f>SUM(D20:D22)</f>
        <v>731977.32765243878</v>
      </c>
      <c r="E23" s="38">
        <f t="shared" ref="E23:O23" si="1">SUM(E20:E22)</f>
        <v>731977.32765243878</v>
      </c>
      <c r="F23" s="38">
        <f t="shared" si="1"/>
        <v>731977.32765243878</v>
      </c>
      <c r="G23" s="38">
        <f t="shared" si="1"/>
        <v>731977.32765243878</v>
      </c>
      <c r="H23" s="435">
        <f t="shared" si="1"/>
        <v>731977.32765243878</v>
      </c>
      <c r="I23" s="240">
        <f t="shared" si="1"/>
        <v>1097965.9914786583</v>
      </c>
      <c r="J23" s="236">
        <f t="shared" si="1"/>
        <v>1250824.3214786584</v>
      </c>
      <c r="K23" s="38">
        <f t="shared" si="1"/>
        <v>1250824.3214786584</v>
      </c>
      <c r="L23" s="38">
        <f t="shared" si="1"/>
        <v>1250824.3214786584</v>
      </c>
      <c r="M23" s="237">
        <f t="shared" si="1"/>
        <v>1250824.3214786584</v>
      </c>
      <c r="N23" s="236">
        <f t="shared" si="1"/>
        <v>1829943.3191310971</v>
      </c>
      <c r="O23" s="237">
        <f t="shared" si="1"/>
        <v>1829943.3191310971</v>
      </c>
      <c r="P23" s="784"/>
      <c r="Q23" s="721"/>
    </row>
    <row r="24" spans="1:22" s="28" customFormat="1"/>
    <row r="25" spans="1:22" s="28" customFormat="1" ht="15.75" thickBot="1"/>
    <row r="26" spans="1:22" s="28" customFormat="1" ht="19.5" customHeight="1">
      <c r="A26" s="646" t="s">
        <v>336</v>
      </c>
      <c r="B26" s="647"/>
      <c r="C26" s="647"/>
      <c r="D26" s="647"/>
      <c r="E26" s="647"/>
      <c r="F26" s="647"/>
      <c r="G26" s="647"/>
      <c r="H26" s="647"/>
      <c r="I26" s="647"/>
      <c r="J26" s="647"/>
      <c r="K26" s="647"/>
      <c r="L26" s="647"/>
      <c r="M26" s="647"/>
      <c r="N26" s="647"/>
      <c r="O26" s="647"/>
      <c r="P26" s="647"/>
      <c r="Q26" s="648"/>
    </row>
    <row r="27" spans="1:22" s="28" customFormat="1" ht="19.5" customHeight="1" thickBot="1">
      <c r="A27" s="741"/>
      <c r="B27" s="742"/>
      <c r="C27" s="742"/>
      <c r="D27" s="742"/>
      <c r="E27" s="742"/>
      <c r="F27" s="742"/>
      <c r="G27" s="742"/>
      <c r="H27" s="742"/>
      <c r="I27" s="742"/>
      <c r="J27" s="742"/>
      <c r="K27" s="742"/>
      <c r="L27" s="742"/>
      <c r="M27" s="742"/>
      <c r="N27" s="742"/>
      <c r="O27" s="742"/>
      <c r="P27" s="742"/>
      <c r="Q27" s="743"/>
    </row>
    <row r="28" spans="1:22" s="28" customFormat="1" ht="19.5" customHeight="1">
      <c r="A28" s="748" t="s">
        <v>31</v>
      </c>
      <c r="B28" s="749"/>
      <c r="C28" s="750"/>
      <c r="D28" s="261" t="s">
        <v>0</v>
      </c>
      <c r="E28" s="262" t="s">
        <v>1</v>
      </c>
      <c r="F28" s="262" t="s">
        <v>2</v>
      </c>
      <c r="G28" s="262" t="s">
        <v>3</v>
      </c>
      <c r="H28" s="263" t="s">
        <v>4</v>
      </c>
      <c r="I28" s="267" t="s">
        <v>5</v>
      </c>
      <c r="J28" s="261" t="s">
        <v>6</v>
      </c>
      <c r="K28" s="262" t="s">
        <v>7</v>
      </c>
      <c r="L28" s="262" t="s">
        <v>8</v>
      </c>
      <c r="M28" s="263" t="s">
        <v>168</v>
      </c>
      <c r="N28" s="261" t="s">
        <v>169</v>
      </c>
      <c r="O28" s="263" t="s">
        <v>170</v>
      </c>
      <c r="P28" s="712" t="s">
        <v>94</v>
      </c>
      <c r="Q28" s="713"/>
    </row>
    <row r="29" spans="1:22" s="28" customFormat="1" ht="19.5" customHeight="1" thickBot="1">
      <c r="A29" s="160"/>
      <c r="B29" s="161"/>
      <c r="C29" s="259"/>
      <c r="D29" s="677" t="s">
        <v>248</v>
      </c>
      <c r="E29" s="678"/>
      <c r="F29" s="678"/>
      <c r="G29" s="678"/>
      <c r="H29" s="679"/>
      <c r="I29" s="268" t="s">
        <v>249</v>
      </c>
      <c r="J29" s="680" t="s">
        <v>250</v>
      </c>
      <c r="K29" s="681"/>
      <c r="L29" s="681"/>
      <c r="M29" s="682"/>
      <c r="N29" s="683" t="s">
        <v>251</v>
      </c>
      <c r="O29" s="684"/>
      <c r="P29" s="777"/>
      <c r="Q29" s="778"/>
      <c r="S29" s="224"/>
      <c r="T29" s="224"/>
      <c r="U29" s="224"/>
      <c r="V29" s="224"/>
    </row>
    <row r="30" spans="1:22" s="28" customFormat="1" ht="40.5" customHeight="1">
      <c r="A30" s="272"/>
      <c r="B30" s="273"/>
      <c r="C30" s="276" t="s">
        <v>255</v>
      </c>
      <c r="D30" s="278">
        <v>1206279.0886468608</v>
      </c>
      <c r="E30" s="271">
        <v>1206279.0886468608</v>
      </c>
      <c r="F30" s="271">
        <v>1206279.0886468608</v>
      </c>
      <c r="G30" s="271">
        <v>1206279.0886468608</v>
      </c>
      <c r="H30" s="279">
        <v>1206279.0886468608</v>
      </c>
      <c r="I30" s="282">
        <v>1206279.0886468608</v>
      </c>
      <c r="J30" s="278">
        <v>1206279.0886468608</v>
      </c>
      <c r="K30" s="271">
        <v>1206279.0886468608</v>
      </c>
      <c r="L30" s="271">
        <v>1206279.0886468608</v>
      </c>
      <c r="M30" s="279">
        <v>1206279.0886468608</v>
      </c>
      <c r="N30" s="278">
        <v>1206279.0886468608</v>
      </c>
      <c r="O30" s="279">
        <v>1206279.0886468608</v>
      </c>
      <c r="P30" s="726" t="s">
        <v>339</v>
      </c>
      <c r="Q30" s="727"/>
      <c r="S30" s="220"/>
      <c r="T30" s="221"/>
      <c r="U30" s="221"/>
      <c r="V30" s="222"/>
    </row>
    <row r="31" spans="1:22" s="28" customFormat="1" ht="34.5" customHeight="1">
      <c r="A31" s="274"/>
      <c r="B31" s="275"/>
      <c r="C31" s="277" t="s">
        <v>256</v>
      </c>
      <c r="D31" s="280">
        <f>317491.9*2</f>
        <v>634983.80000000005</v>
      </c>
      <c r="E31" s="68">
        <f t="shared" ref="E31:H31" si="2">317491.9*2</f>
        <v>634983.80000000005</v>
      </c>
      <c r="F31" s="68">
        <f t="shared" si="2"/>
        <v>634983.80000000005</v>
      </c>
      <c r="G31" s="68">
        <f t="shared" si="2"/>
        <v>634983.80000000005</v>
      </c>
      <c r="H31" s="281">
        <f t="shared" si="2"/>
        <v>634983.80000000005</v>
      </c>
      <c r="I31" s="283">
        <f>317491.9*3</f>
        <v>952475.70000000007</v>
      </c>
      <c r="J31" s="280">
        <f>317491.9*4</f>
        <v>1269967.6000000001</v>
      </c>
      <c r="K31" s="68">
        <f t="shared" ref="K31:M31" si="3">317491.9*4</f>
        <v>1269967.6000000001</v>
      </c>
      <c r="L31" s="68">
        <f t="shared" si="3"/>
        <v>1269967.6000000001</v>
      </c>
      <c r="M31" s="281">
        <f t="shared" si="3"/>
        <v>1269967.6000000001</v>
      </c>
      <c r="N31" s="280">
        <f>317491.9*5</f>
        <v>1587459.5</v>
      </c>
      <c r="O31" s="281">
        <f>317491.9*5</f>
        <v>1587459.5</v>
      </c>
      <c r="P31" s="726" t="s">
        <v>339</v>
      </c>
      <c r="Q31" s="727"/>
      <c r="S31" s="220"/>
      <c r="T31" s="221"/>
      <c r="U31" s="221"/>
      <c r="V31" s="222"/>
    </row>
    <row r="32" spans="1:22" s="28" customFormat="1" ht="32.25" customHeight="1">
      <c r="A32" s="274"/>
      <c r="B32" s="275"/>
      <c r="C32" s="277" t="s">
        <v>257</v>
      </c>
      <c r="D32" s="280">
        <f>127001.6*2</f>
        <v>254003.20000000001</v>
      </c>
      <c r="E32" s="68">
        <f t="shared" ref="E32:H32" si="4">127001.6*2</f>
        <v>254003.20000000001</v>
      </c>
      <c r="F32" s="68">
        <f t="shared" si="4"/>
        <v>254003.20000000001</v>
      </c>
      <c r="G32" s="68">
        <f t="shared" si="4"/>
        <v>254003.20000000001</v>
      </c>
      <c r="H32" s="281">
        <f t="shared" si="4"/>
        <v>254003.20000000001</v>
      </c>
      <c r="I32" s="283">
        <f>127001.6*3</f>
        <v>381004.80000000005</v>
      </c>
      <c r="J32" s="280">
        <f>127001.6*4</f>
        <v>508006.40000000002</v>
      </c>
      <c r="K32" s="68">
        <f t="shared" ref="K32:M32" si="5">127001.6*4</f>
        <v>508006.40000000002</v>
      </c>
      <c r="L32" s="68">
        <f t="shared" si="5"/>
        <v>508006.40000000002</v>
      </c>
      <c r="M32" s="281">
        <f t="shared" si="5"/>
        <v>508006.40000000002</v>
      </c>
      <c r="N32" s="280">
        <f>127001.6*5</f>
        <v>635008</v>
      </c>
      <c r="O32" s="281">
        <f>127001.6*5</f>
        <v>635008</v>
      </c>
      <c r="P32" s="726" t="s">
        <v>339</v>
      </c>
      <c r="Q32" s="727"/>
      <c r="S32" s="220"/>
      <c r="T32" s="221"/>
      <c r="U32" s="221"/>
      <c r="V32" s="222"/>
    </row>
    <row r="33" spans="1:22" s="28" customFormat="1" ht="30" customHeight="1">
      <c r="A33" s="274"/>
      <c r="B33" s="275"/>
      <c r="C33" s="277" t="s">
        <v>258</v>
      </c>
      <c r="D33" s="280">
        <f>63500.8*2</f>
        <v>127001.60000000001</v>
      </c>
      <c r="E33" s="68">
        <f t="shared" ref="E33:H33" si="6">63500.8*2</f>
        <v>127001.60000000001</v>
      </c>
      <c r="F33" s="68">
        <f t="shared" si="6"/>
        <v>127001.60000000001</v>
      </c>
      <c r="G33" s="68">
        <f t="shared" si="6"/>
        <v>127001.60000000001</v>
      </c>
      <c r="H33" s="281">
        <f t="shared" si="6"/>
        <v>127001.60000000001</v>
      </c>
      <c r="I33" s="283">
        <f>63500.8*3</f>
        <v>190502.40000000002</v>
      </c>
      <c r="J33" s="280">
        <f>63500.8*4</f>
        <v>254003.20000000001</v>
      </c>
      <c r="K33" s="68">
        <f t="shared" ref="K33:M33" si="7">63500.8*4</f>
        <v>254003.20000000001</v>
      </c>
      <c r="L33" s="68">
        <f t="shared" si="7"/>
        <v>254003.20000000001</v>
      </c>
      <c r="M33" s="281">
        <f t="shared" si="7"/>
        <v>254003.20000000001</v>
      </c>
      <c r="N33" s="280">
        <f>63500.8*5</f>
        <v>317504</v>
      </c>
      <c r="O33" s="281">
        <f>63500.8*5</f>
        <v>317504</v>
      </c>
      <c r="P33" s="726" t="s">
        <v>339</v>
      </c>
      <c r="Q33" s="727"/>
      <c r="S33" s="220"/>
      <c r="T33" s="221"/>
      <c r="U33" s="221"/>
      <c r="V33" s="222"/>
    </row>
    <row r="34" spans="1:22" s="28" customFormat="1" ht="33" customHeight="1">
      <c r="A34" s="274"/>
      <c r="B34" s="275"/>
      <c r="C34" s="277" t="s">
        <v>259</v>
      </c>
      <c r="D34" s="280">
        <v>482596.39999999997</v>
      </c>
      <c r="E34" s="68">
        <v>482596.39999999997</v>
      </c>
      <c r="F34" s="68">
        <v>482596.39999999997</v>
      </c>
      <c r="G34" s="68">
        <f>482596.4*1.1</f>
        <v>530856.04</v>
      </c>
      <c r="H34" s="68">
        <f t="shared" ref="H34:O34" si="8">482596.4*1.1</f>
        <v>530856.04</v>
      </c>
      <c r="I34" s="68">
        <f t="shared" si="8"/>
        <v>530856.04</v>
      </c>
      <c r="J34" s="68">
        <f t="shared" si="8"/>
        <v>530856.04</v>
      </c>
      <c r="K34" s="68">
        <f t="shared" si="8"/>
        <v>530856.04</v>
      </c>
      <c r="L34" s="68">
        <f t="shared" si="8"/>
        <v>530856.04</v>
      </c>
      <c r="M34" s="68">
        <f t="shared" si="8"/>
        <v>530856.04</v>
      </c>
      <c r="N34" s="68">
        <f t="shared" si="8"/>
        <v>530856.04</v>
      </c>
      <c r="O34" s="68">
        <f t="shared" si="8"/>
        <v>530856.04</v>
      </c>
      <c r="P34" s="726" t="s">
        <v>339</v>
      </c>
      <c r="Q34" s="727"/>
      <c r="S34" s="220"/>
      <c r="T34" s="221"/>
      <c r="U34" s="221"/>
      <c r="V34" s="222"/>
    </row>
    <row r="35" spans="1:22" s="28" customFormat="1" ht="28.5" customHeight="1" thickBot="1">
      <c r="A35" s="297"/>
      <c r="B35" s="298"/>
      <c r="C35" s="299" t="s">
        <v>337</v>
      </c>
      <c r="D35" s="236">
        <f>SUM(D30:D34)</f>
        <v>2704864.0886468608</v>
      </c>
      <c r="E35" s="38">
        <f t="shared" ref="E35:O35" si="9">SUM(E30:E34)</f>
        <v>2704864.0886468608</v>
      </c>
      <c r="F35" s="38">
        <f t="shared" si="9"/>
        <v>2704864.0886468608</v>
      </c>
      <c r="G35" s="38">
        <f t="shared" si="9"/>
        <v>2753123.7286468609</v>
      </c>
      <c r="H35" s="237">
        <f t="shared" si="9"/>
        <v>2753123.7286468609</v>
      </c>
      <c r="I35" s="240">
        <f t="shared" si="9"/>
        <v>3261118.0286468607</v>
      </c>
      <c r="J35" s="236">
        <f t="shared" si="9"/>
        <v>3769112.328646861</v>
      </c>
      <c r="K35" s="38">
        <f t="shared" si="9"/>
        <v>3769112.328646861</v>
      </c>
      <c r="L35" s="38">
        <f t="shared" si="9"/>
        <v>3769112.328646861</v>
      </c>
      <c r="M35" s="237">
        <f t="shared" si="9"/>
        <v>3769112.328646861</v>
      </c>
      <c r="N35" s="236">
        <f t="shared" si="9"/>
        <v>4277106.6286468608</v>
      </c>
      <c r="O35" s="237">
        <f t="shared" si="9"/>
        <v>4277106.6286468608</v>
      </c>
      <c r="P35" s="720"/>
      <c r="Q35" s="721"/>
      <c r="S35" s="220"/>
      <c r="T35" s="221"/>
      <c r="U35" s="221"/>
      <c r="V35" s="225"/>
    </row>
    <row r="36" spans="1:22" s="28" customFormat="1">
      <c r="S36" s="2"/>
      <c r="T36" s="2"/>
      <c r="U36" s="2"/>
      <c r="V36" s="2"/>
    </row>
    <row r="37" spans="1:22" s="28" customFormat="1" ht="15.75" thickBot="1">
      <c r="S37" s="2"/>
      <c r="T37" s="2"/>
      <c r="U37" s="2"/>
      <c r="V37" s="2"/>
    </row>
    <row r="38" spans="1:22" s="28" customFormat="1">
      <c r="A38" s="646" t="s">
        <v>260</v>
      </c>
      <c r="B38" s="647"/>
      <c r="C38" s="647"/>
      <c r="D38" s="647"/>
      <c r="E38" s="647"/>
      <c r="F38" s="647"/>
      <c r="G38" s="647"/>
      <c r="H38" s="647"/>
      <c r="I38" s="647"/>
      <c r="J38" s="647"/>
      <c r="K38" s="647"/>
      <c r="L38" s="647"/>
      <c r="M38" s="647"/>
      <c r="N38" s="647"/>
      <c r="O38" s="647"/>
      <c r="P38" s="647"/>
      <c r="Q38" s="648"/>
      <c r="S38" s="2"/>
      <c r="T38" s="2"/>
      <c r="U38" s="2"/>
      <c r="V38" s="2"/>
    </row>
    <row r="39" spans="1:22" s="28" customFormat="1" ht="15.75" thickBot="1">
      <c r="A39" s="741"/>
      <c r="B39" s="742"/>
      <c r="C39" s="742"/>
      <c r="D39" s="742"/>
      <c r="E39" s="742"/>
      <c r="F39" s="742"/>
      <c r="G39" s="742"/>
      <c r="H39" s="742"/>
      <c r="I39" s="742"/>
      <c r="J39" s="742"/>
      <c r="K39" s="742"/>
      <c r="L39" s="742"/>
      <c r="M39" s="742"/>
      <c r="N39" s="742"/>
      <c r="O39" s="742"/>
      <c r="P39" s="742"/>
      <c r="Q39" s="743"/>
      <c r="S39" s="2"/>
      <c r="T39" s="2"/>
      <c r="U39" s="2"/>
      <c r="V39" s="2"/>
    </row>
    <row r="40" spans="1:22" s="28" customFormat="1">
      <c r="A40" s="748" t="s">
        <v>31</v>
      </c>
      <c r="B40" s="749"/>
      <c r="C40" s="750"/>
      <c r="D40" s="261" t="s">
        <v>0</v>
      </c>
      <c r="E40" s="262" t="s">
        <v>1</v>
      </c>
      <c r="F40" s="262" t="s">
        <v>2</v>
      </c>
      <c r="G40" s="262" t="s">
        <v>3</v>
      </c>
      <c r="H40" s="263" t="s">
        <v>4</v>
      </c>
      <c r="I40" s="267" t="s">
        <v>5</v>
      </c>
      <c r="J40" s="261" t="s">
        <v>6</v>
      </c>
      <c r="K40" s="262" t="s">
        <v>7</v>
      </c>
      <c r="L40" s="262" t="s">
        <v>8</v>
      </c>
      <c r="M40" s="263" t="s">
        <v>168</v>
      </c>
      <c r="N40" s="261" t="s">
        <v>169</v>
      </c>
      <c r="O40" s="263" t="s">
        <v>170</v>
      </c>
      <c r="P40" s="712" t="s">
        <v>94</v>
      </c>
      <c r="Q40" s="713"/>
      <c r="S40" s="2"/>
      <c r="T40" s="2"/>
      <c r="U40" s="2"/>
      <c r="V40" s="2"/>
    </row>
    <row r="41" spans="1:22" s="28" customFormat="1" ht="19.5" customHeight="1" thickBot="1">
      <c r="A41" s="160"/>
      <c r="B41" s="161"/>
      <c r="C41" s="259"/>
      <c r="D41" s="677" t="s">
        <v>393</v>
      </c>
      <c r="E41" s="678"/>
      <c r="F41" s="678"/>
      <c r="G41" s="678"/>
      <c r="H41" s="679"/>
      <c r="I41" s="268" t="s">
        <v>394</v>
      </c>
      <c r="J41" s="680" t="s">
        <v>394</v>
      </c>
      <c r="K41" s="681"/>
      <c r="L41" s="681"/>
      <c r="M41" s="682"/>
      <c r="N41" s="683" t="s">
        <v>394</v>
      </c>
      <c r="O41" s="684"/>
      <c r="P41" s="777"/>
      <c r="Q41" s="778"/>
      <c r="S41" s="224"/>
      <c r="T41" s="224"/>
      <c r="U41" s="224"/>
      <c r="V41" s="224"/>
    </row>
    <row r="42" spans="1:22" s="28" customFormat="1" ht="30" customHeight="1" thickBot="1">
      <c r="A42" s="256"/>
      <c r="B42" s="257"/>
      <c r="C42" s="260" t="s">
        <v>260</v>
      </c>
      <c r="D42" s="264">
        <f>E47</f>
        <v>1429000</v>
      </c>
      <c r="E42" s="258">
        <f>$E$48</f>
        <v>9791000</v>
      </c>
      <c r="F42" s="258">
        <f>$E$49</f>
        <v>9791000</v>
      </c>
      <c r="G42" s="258">
        <f>$E$50</f>
        <v>9980000</v>
      </c>
      <c r="H42" s="265">
        <f>$E$51</f>
        <v>9980000</v>
      </c>
      <c r="I42" s="269">
        <f>$E$52</f>
        <v>9980000</v>
      </c>
      <c r="J42" s="264">
        <f>$E$53</f>
        <v>32896000</v>
      </c>
      <c r="K42" s="258">
        <f>$E$53</f>
        <v>32896000</v>
      </c>
      <c r="L42" s="258">
        <f>$E$53</f>
        <v>32896000</v>
      </c>
      <c r="M42" s="265">
        <f>$E$53</f>
        <v>32896000</v>
      </c>
      <c r="N42" s="264">
        <f>$E$54</f>
        <v>32896000</v>
      </c>
      <c r="O42" s="265">
        <f>E54</f>
        <v>32896000</v>
      </c>
      <c r="P42" s="728" t="s">
        <v>339</v>
      </c>
      <c r="Q42" s="729"/>
      <c r="S42" s="220"/>
      <c r="T42" s="221"/>
      <c r="U42" s="221"/>
      <c r="V42" s="222"/>
    </row>
    <row r="43" spans="1:22" s="226" customFormat="1" ht="19.5" customHeight="1" thickBot="1">
      <c r="A43" s="300"/>
      <c r="B43" s="301"/>
      <c r="C43" s="302" t="s">
        <v>338</v>
      </c>
      <c r="D43" s="266">
        <f>SUM(D42)</f>
        <v>1429000</v>
      </c>
      <c r="E43" s="228">
        <f t="shared" ref="E43:O43" si="10">SUM(E42)</f>
        <v>9791000</v>
      </c>
      <c r="F43" s="228">
        <f t="shared" si="10"/>
        <v>9791000</v>
      </c>
      <c r="G43" s="228">
        <f t="shared" si="10"/>
        <v>9980000</v>
      </c>
      <c r="H43" s="229">
        <f t="shared" si="10"/>
        <v>9980000</v>
      </c>
      <c r="I43" s="270">
        <f t="shared" si="10"/>
        <v>9980000</v>
      </c>
      <c r="J43" s="266">
        <f t="shared" si="10"/>
        <v>32896000</v>
      </c>
      <c r="K43" s="228">
        <f t="shared" si="10"/>
        <v>32896000</v>
      </c>
      <c r="L43" s="228">
        <f t="shared" si="10"/>
        <v>32896000</v>
      </c>
      <c r="M43" s="229">
        <f t="shared" si="10"/>
        <v>32896000</v>
      </c>
      <c r="N43" s="266">
        <f t="shared" si="10"/>
        <v>32896000</v>
      </c>
      <c r="O43" s="229">
        <f t="shared" si="10"/>
        <v>32896000</v>
      </c>
      <c r="P43" s="291"/>
      <c r="Q43" s="290"/>
      <c r="S43" s="227"/>
      <c r="T43" s="227"/>
      <c r="U43" s="227"/>
      <c r="V43" s="227"/>
    </row>
    <row r="44" spans="1:22" s="28" customFormat="1" ht="15.75" thickBot="1"/>
    <row r="45" spans="1:22" s="28" customFormat="1" ht="16.5" customHeight="1">
      <c r="C45" s="751" t="s">
        <v>362</v>
      </c>
      <c r="D45" s="752"/>
      <c r="E45" s="753"/>
    </row>
    <row r="46" spans="1:22" s="28" customFormat="1" ht="15.75" thickBot="1">
      <c r="C46" s="391" t="s">
        <v>267</v>
      </c>
      <c r="D46" s="736" t="s">
        <v>261</v>
      </c>
      <c r="E46" s="629"/>
      <c r="G46" s="325"/>
      <c r="H46" s="325"/>
    </row>
    <row r="47" spans="1:22" s="28" customFormat="1">
      <c r="C47" s="392" t="s">
        <v>262</v>
      </c>
      <c r="D47" s="393" t="s">
        <v>0</v>
      </c>
      <c r="E47" s="394">
        <v>1429000</v>
      </c>
      <c r="G47" s="318"/>
      <c r="H47" s="318"/>
    </row>
    <row r="48" spans="1:22" s="28" customFormat="1">
      <c r="C48" s="113" t="s">
        <v>263</v>
      </c>
      <c r="D48" s="71" t="s">
        <v>1</v>
      </c>
      <c r="E48" s="114">
        <v>9791000</v>
      </c>
      <c r="G48" s="318"/>
      <c r="H48" s="318"/>
    </row>
    <row r="49" spans="1:17" s="28" customFormat="1">
      <c r="C49" s="113" t="s">
        <v>263</v>
      </c>
      <c r="D49" s="71" t="s">
        <v>2</v>
      </c>
      <c r="E49" s="114">
        <v>9791000</v>
      </c>
      <c r="G49" s="318"/>
      <c r="H49" s="318"/>
    </row>
    <row r="50" spans="1:17" s="28" customFormat="1">
      <c r="C50" s="113" t="s">
        <v>264</v>
      </c>
      <c r="D50" s="71" t="s">
        <v>3</v>
      </c>
      <c r="E50" s="114">
        <v>9980000</v>
      </c>
      <c r="G50" s="318"/>
      <c r="H50" s="318"/>
    </row>
    <row r="51" spans="1:17" s="28" customFormat="1">
      <c r="C51" s="113" t="s">
        <v>264</v>
      </c>
      <c r="D51" s="71" t="s">
        <v>4</v>
      </c>
      <c r="E51" s="114">
        <v>9980000</v>
      </c>
      <c r="G51" s="60"/>
      <c r="H51" s="60"/>
    </row>
    <row r="52" spans="1:17" s="28" customFormat="1">
      <c r="C52" s="113" t="s">
        <v>264</v>
      </c>
      <c r="D52" s="71" t="s">
        <v>5</v>
      </c>
      <c r="E52" s="114">
        <v>9980000</v>
      </c>
      <c r="G52" s="318"/>
      <c r="H52" s="318"/>
    </row>
    <row r="53" spans="1:17" s="28" customFormat="1">
      <c r="C53" s="113" t="s">
        <v>265</v>
      </c>
      <c r="D53" s="71" t="s">
        <v>6</v>
      </c>
      <c r="E53" s="114">
        <v>32896000</v>
      </c>
      <c r="G53" s="2"/>
      <c r="H53" s="2"/>
    </row>
    <row r="54" spans="1:17" s="28" customFormat="1" ht="15.75" thickBot="1">
      <c r="C54" s="115" t="s">
        <v>266</v>
      </c>
      <c r="D54" s="118" t="s">
        <v>169</v>
      </c>
      <c r="E54" s="116">
        <v>32896000</v>
      </c>
      <c r="G54" s="2"/>
      <c r="H54" s="2"/>
    </row>
    <row r="55" spans="1:17" s="28" customFormat="1"/>
    <row r="56" spans="1:17" s="28" customFormat="1" ht="15.75" thickBot="1"/>
    <row r="57" spans="1:17">
      <c r="A57" s="663" t="s">
        <v>342</v>
      </c>
      <c r="B57" s="664"/>
      <c r="C57" s="664"/>
      <c r="D57" s="664"/>
      <c r="E57" s="664"/>
      <c r="F57" s="664"/>
      <c r="G57" s="664"/>
      <c r="H57" s="664"/>
      <c r="I57" s="664"/>
      <c r="J57" s="664"/>
      <c r="K57" s="664"/>
      <c r="L57" s="664"/>
      <c r="M57" s="664"/>
      <c r="N57" s="664"/>
      <c r="O57" s="664"/>
      <c r="P57" s="664"/>
      <c r="Q57" s="665"/>
    </row>
    <row r="58" spans="1:17" s="28" customFormat="1" ht="24.75" customHeight="1" thickBot="1">
      <c r="A58" s="666"/>
      <c r="B58" s="667"/>
      <c r="C58" s="667"/>
      <c r="D58" s="667"/>
      <c r="E58" s="667"/>
      <c r="F58" s="667"/>
      <c r="G58" s="667"/>
      <c r="H58" s="667"/>
      <c r="I58" s="667"/>
      <c r="J58" s="667"/>
      <c r="K58" s="667"/>
      <c r="L58" s="667"/>
      <c r="M58" s="667"/>
      <c r="N58" s="667"/>
      <c r="O58" s="667"/>
      <c r="P58" s="667"/>
      <c r="Q58" s="668"/>
    </row>
    <row r="59" spans="1:17" ht="24.75" customHeight="1">
      <c r="A59" s="709" t="s">
        <v>31</v>
      </c>
      <c r="B59" s="710"/>
      <c r="C59" s="711"/>
      <c r="D59" s="117" t="s">
        <v>0</v>
      </c>
      <c r="E59" s="230" t="s">
        <v>1</v>
      </c>
      <c r="F59" s="230" t="s">
        <v>2</v>
      </c>
      <c r="G59" s="230" t="s">
        <v>3</v>
      </c>
      <c r="H59" s="231" t="s">
        <v>4</v>
      </c>
      <c r="I59" s="238" t="s">
        <v>5</v>
      </c>
      <c r="J59" s="117" t="s">
        <v>6</v>
      </c>
      <c r="K59" s="230" t="s">
        <v>7</v>
      </c>
      <c r="L59" s="230" t="s">
        <v>8</v>
      </c>
      <c r="M59" s="231" t="s">
        <v>168</v>
      </c>
      <c r="N59" s="117" t="s">
        <v>169</v>
      </c>
      <c r="O59" s="231" t="s">
        <v>170</v>
      </c>
      <c r="P59" s="712" t="s">
        <v>94</v>
      </c>
      <c r="Q59" s="713"/>
    </row>
    <row r="60" spans="1:17" s="5" customFormat="1" ht="18" customHeight="1" thickBot="1">
      <c r="A60" s="249"/>
      <c r="B60" s="250"/>
      <c r="C60" s="251"/>
      <c r="D60" s="764" t="s">
        <v>248</v>
      </c>
      <c r="E60" s="765"/>
      <c r="F60" s="765"/>
      <c r="G60" s="765"/>
      <c r="H60" s="766"/>
      <c r="I60" s="252" t="s">
        <v>249</v>
      </c>
      <c r="J60" s="767" t="s">
        <v>250</v>
      </c>
      <c r="K60" s="768"/>
      <c r="L60" s="768"/>
      <c r="M60" s="769"/>
      <c r="N60" s="714" t="s">
        <v>251</v>
      </c>
      <c r="O60" s="732"/>
      <c r="P60" s="707"/>
      <c r="Q60" s="708"/>
    </row>
    <row r="61" spans="1:17" s="5" customFormat="1" ht="45" customHeight="1">
      <c r="A61" s="242"/>
      <c r="B61" s="243"/>
      <c r="C61" s="244" t="s">
        <v>245</v>
      </c>
      <c r="D61" s="245">
        <f>385348*2</f>
        <v>770696</v>
      </c>
      <c r="E61" s="246">
        <f>385348*2</f>
        <v>770696</v>
      </c>
      <c r="F61" s="246">
        <f>385348*2</f>
        <v>770696</v>
      </c>
      <c r="G61" s="246">
        <f>385348*2</f>
        <v>770696</v>
      </c>
      <c r="H61" s="247">
        <f>385348*2</f>
        <v>770696</v>
      </c>
      <c r="I61" s="248">
        <f>385348*3</f>
        <v>1156044</v>
      </c>
      <c r="J61" s="245">
        <f>385348*4</f>
        <v>1541392</v>
      </c>
      <c r="K61" s="246">
        <f>385348*4</f>
        <v>1541392</v>
      </c>
      <c r="L61" s="246">
        <f>385348*4</f>
        <v>1541392</v>
      </c>
      <c r="M61" s="247">
        <f>385348*4</f>
        <v>1541392</v>
      </c>
      <c r="N61" s="245">
        <f>385348*5</f>
        <v>1926740</v>
      </c>
      <c r="O61" s="247">
        <f>385348*5</f>
        <v>1926740</v>
      </c>
      <c r="P61" s="697" t="s">
        <v>334</v>
      </c>
      <c r="Q61" s="698"/>
    </row>
    <row r="62" spans="1:17" s="5" customFormat="1" ht="46.5" customHeight="1">
      <c r="A62" s="151"/>
      <c r="B62" s="152"/>
      <c r="C62" s="241" t="s">
        <v>246</v>
      </c>
      <c r="D62" s="234">
        <f t="shared" ref="D62:O62" si="11">1269967</f>
        <v>1269967</v>
      </c>
      <c r="E62" s="223">
        <f t="shared" si="11"/>
        <v>1269967</v>
      </c>
      <c r="F62" s="223">
        <f t="shared" si="11"/>
        <v>1269967</v>
      </c>
      <c r="G62" s="223">
        <f t="shared" si="11"/>
        <v>1269967</v>
      </c>
      <c r="H62" s="235">
        <f t="shared" si="11"/>
        <v>1269967</v>
      </c>
      <c r="I62" s="239">
        <f t="shared" si="11"/>
        <v>1269967</v>
      </c>
      <c r="J62" s="234">
        <f t="shared" si="11"/>
        <v>1269967</v>
      </c>
      <c r="K62" s="223">
        <f t="shared" si="11"/>
        <v>1269967</v>
      </c>
      <c r="L62" s="223">
        <f t="shared" si="11"/>
        <v>1269967</v>
      </c>
      <c r="M62" s="235">
        <f t="shared" si="11"/>
        <v>1269967</v>
      </c>
      <c r="N62" s="235">
        <f t="shared" si="11"/>
        <v>1269967</v>
      </c>
      <c r="O62" s="235">
        <f t="shared" si="11"/>
        <v>1269967</v>
      </c>
      <c r="P62" s="699" t="s">
        <v>333</v>
      </c>
      <c r="Q62" s="700"/>
    </row>
    <row r="63" spans="1:17" s="5" customFormat="1" ht="44.25" customHeight="1">
      <c r="A63" s="151"/>
      <c r="B63" s="152"/>
      <c r="C63" s="241" t="s">
        <v>212</v>
      </c>
      <c r="D63" s="234">
        <f>(3000000/360)*2</f>
        <v>16666.666666666668</v>
      </c>
      <c r="E63" s="223">
        <f t="shared" ref="E63:H63" si="12">(3000000/360)*2</f>
        <v>16666.666666666668</v>
      </c>
      <c r="F63" s="223">
        <f t="shared" si="12"/>
        <v>16666.666666666668</v>
      </c>
      <c r="G63" s="223">
        <f t="shared" si="12"/>
        <v>16666.666666666668</v>
      </c>
      <c r="H63" s="235">
        <f t="shared" si="12"/>
        <v>16666.666666666668</v>
      </c>
      <c r="I63" s="239">
        <f>(3000000/360)*3</f>
        <v>25000</v>
      </c>
      <c r="J63" s="234">
        <f>(3000000/360)*4</f>
        <v>33333.333333333336</v>
      </c>
      <c r="K63" s="223">
        <f t="shared" ref="K63:M63" si="13">(3000000/360)*4</f>
        <v>33333.333333333336</v>
      </c>
      <c r="L63" s="223">
        <f t="shared" si="13"/>
        <v>33333.333333333336</v>
      </c>
      <c r="M63" s="235">
        <f t="shared" si="13"/>
        <v>33333.333333333336</v>
      </c>
      <c r="N63" s="234">
        <f>(3000000/360)*5</f>
        <v>41666.666666666672</v>
      </c>
      <c r="O63" s="235">
        <f>(3000000/360)*5</f>
        <v>41666.666666666672</v>
      </c>
      <c r="P63" s="699"/>
      <c r="Q63" s="700"/>
    </row>
    <row r="64" spans="1:17" s="5" customFormat="1" ht="48" customHeight="1">
      <c r="A64" s="151"/>
      <c r="B64" s="152"/>
      <c r="C64" s="241" t="s">
        <v>213</v>
      </c>
      <c r="D64" s="253">
        <f>8500*(100/12)*2</f>
        <v>141666.66666666669</v>
      </c>
      <c r="E64" s="232">
        <f t="shared" ref="E64:H64" si="14">8500*(100/12)*2</f>
        <v>141666.66666666669</v>
      </c>
      <c r="F64" s="232">
        <f t="shared" si="14"/>
        <v>141666.66666666669</v>
      </c>
      <c r="G64" s="232">
        <f t="shared" si="14"/>
        <v>141666.66666666669</v>
      </c>
      <c r="H64" s="254">
        <f t="shared" si="14"/>
        <v>141666.66666666669</v>
      </c>
      <c r="I64" s="255">
        <f>8500*(100/12)*2.5</f>
        <v>177083.33333333337</v>
      </c>
      <c r="J64" s="253">
        <f>8500*(100/12)*2.5</f>
        <v>177083.33333333337</v>
      </c>
      <c r="K64" s="232">
        <f>8500*(100/12)*3</f>
        <v>212500.00000000003</v>
      </c>
      <c r="L64" s="232">
        <f>8500*(100/12)*3.5</f>
        <v>247916.66666666669</v>
      </c>
      <c r="M64" s="254">
        <f>8500*(100/12)*3.8</f>
        <v>269166.66666666669</v>
      </c>
      <c r="N64" s="253">
        <f>8500*(100/12)*5</f>
        <v>354166.66666666674</v>
      </c>
      <c r="O64" s="254">
        <f>8500*(100/12)*5</f>
        <v>354166.66666666674</v>
      </c>
      <c r="P64" s="699" t="s">
        <v>335</v>
      </c>
      <c r="Q64" s="700"/>
    </row>
    <row r="65" spans="1:17" ht="20.25" customHeight="1" thickBot="1">
      <c r="A65" s="294"/>
      <c r="B65" s="295"/>
      <c r="C65" s="296" t="s">
        <v>343</v>
      </c>
      <c r="D65" s="236">
        <f t="shared" ref="D65:O65" si="15">SUM(D61:D64)</f>
        <v>2198996.3333333335</v>
      </c>
      <c r="E65" s="38">
        <f t="shared" si="15"/>
        <v>2198996.3333333335</v>
      </c>
      <c r="F65" s="38">
        <f t="shared" si="15"/>
        <v>2198996.3333333335</v>
      </c>
      <c r="G65" s="38">
        <f t="shared" si="15"/>
        <v>2198996.3333333335</v>
      </c>
      <c r="H65" s="237">
        <f t="shared" si="15"/>
        <v>2198996.3333333335</v>
      </c>
      <c r="I65" s="240">
        <f t="shared" si="15"/>
        <v>2628094.3333333335</v>
      </c>
      <c r="J65" s="236">
        <f t="shared" si="15"/>
        <v>3021775.666666667</v>
      </c>
      <c r="K65" s="38">
        <f t="shared" si="15"/>
        <v>3057192.3333333335</v>
      </c>
      <c r="L65" s="38">
        <f t="shared" si="15"/>
        <v>3092609</v>
      </c>
      <c r="M65" s="237">
        <f t="shared" si="15"/>
        <v>3113859</v>
      </c>
      <c r="N65" s="236">
        <f t="shared" si="15"/>
        <v>3592540.333333333</v>
      </c>
      <c r="O65" s="237">
        <f t="shared" si="15"/>
        <v>3592540.333333333</v>
      </c>
      <c r="P65" s="720"/>
      <c r="Q65" s="721"/>
    </row>
    <row r="66" spans="1:17" s="28" customFormat="1" ht="15.75" thickBot="1">
      <c r="A66" s="857" t="s">
        <v>405</v>
      </c>
      <c r="B66" s="858"/>
      <c r="C66" s="858"/>
      <c r="D66" s="38">
        <v>70000</v>
      </c>
      <c r="E66" s="38">
        <v>70000</v>
      </c>
      <c r="F66" s="38">
        <v>70000</v>
      </c>
      <c r="G66" s="38">
        <v>70000</v>
      </c>
      <c r="H66" s="38">
        <v>70000</v>
      </c>
      <c r="I66" s="38">
        <v>70000</v>
      </c>
      <c r="J66" s="38">
        <v>70000</v>
      </c>
      <c r="K66" s="38">
        <v>70000</v>
      </c>
      <c r="L66" s="38">
        <v>70000</v>
      </c>
      <c r="M66" s="38">
        <v>70000</v>
      </c>
      <c r="N66" s="38">
        <v>70000</v>
      </c>
      <c r="O66" s="237">
        <v>70000</v>
      </c>
      <c r="P66" s="859" t="s">
        <v>406</v>
      </c>
      <c r="Q66" s="860"/>
    </row>
    <row r="67" spans="1:17" s="28" customFormat="1" ht="15.75" customHeight="1" thickBot="1"/>
    <row r="68" spans="1:17" s="28" customFormat="1" ht="19.5" customHeight="1">
      <c r="A68" s="663" t="s">
        <v>252</v>
      </c>
      <c r="B68" s="664"/>
      <c r="C68" s="664"/>
      <c r="D68" s="664"/>
      <c r="E68" s="664"/>
      <c r="F68" s="664"/>
      <c r="G68" s="664"/>
      <c r="H68" s="664"/>
      <c r="I68" s="664"/>
      <c r="J68" s="664"/>
      <c r="K68" s="664"/>
      <c r="L68" s="664"/>
      <c r="M68" s="664"/>
      <c r="N68" s="664"/>
      <c r="O68" s="664"/>
      <c r="P68" s="664"/>
      <c r="Q68" s="665"/>
    </row>
    <row r="69" spans="1:17" s="28" customFormat="1" ht="19.5" customHeight="1" thickBot="1">
      <c r="A69" s="666"/>
      <c r="B69" s="667"/>
      <c r="C69" s="667"/>
      <c r="D69" s="667"/>
      <c r="E69" s="667"/>
      <c r="F69" s="667"/>
      <c r="G69" s="667"/>
      <c r="H69" s="667"/>
      <c r="I69" s="667"/>
      <c r="J69" s="667"/>
      <c r="K69" s="667"/>
      <c r="L69" s="667"/>
      <c r="M69" s="667"/>
      <c r="N69" s="667"/>
      <c r="O69" s="667"/>
      <c r="P69" s="667"/>
      <c r="Q69" s="668"/>
    </row>
    <row r="70" spans="1:17" s="28" customFormat="1" ht="19.5" customHeight="1">
      <c r="A70" s="709" t="s">
        <v>31</v>
      </c>
      <c r="B70" s="710"/>
      <c r="C70" s="711"/>
      <c r="D70" s="117" t="s">
        <v>0</v>
      </c>
      <c r="E70" s="230" t="s">
        <v>1</v>
      </c>
      <c r="F70" s="230" t="s">
        <v>2</v>
      </c>
      <c r="G70" s="230" t="s">
        <v>3</v>
      </c>
      <c r="H70" s="231" t="s">
        <v>4</v>
      </c>
      <c r="I70" s="238" t="s">
        <v>5</v>
      </c>
      <c r="J70" s="117" t="s">
        <v>6</v>
      </c>
      <c r="K70" s="230" t="s">
        <v>7</v>
      </c>
      <c r="L70" s="230" t="s">
        <v>8</v>
      </c>
      <c r="M70" s="231" t="s">
        <v>168</v>
      </c>
      <c r="N70" s="117" t="s">
        <v>169</v>
      </c>
      <c r="O70" s="292" t="s">
        <v>170</v>
      </c>
      <c r="P70" s="712" t="s">
        <v>94</v>
      </c>
      <c r="Q70" s="713"/>
    </row>
    <row r="71" spans="1:17" s="5" customFormat="1" ht="19.5" customHeight="1" thickBot="1">
      <c r="A71" s="249"/>
      <c r="B71" s="250"/>
      <c r="C71" s="251"/>
      <c r="D71" s="677" t="s">
        <v>393</v>
      </c>
      <c r="E71" s="678"/>
      <c r="F71" s="678"/>
      <c r="G71" s="678"/>
      <c r="H71" s="679"/>
      <c r="I71" s="252" t="s">
        <v>394</v>
      </c>
      <c r="J71" s="733" t="s">
        <v>397</v>
      </c>
      <c r="K71" s="734"/>
      <c r="L71" s="734"/>
      <c r="M71" s="735"/>
      <c r="N71" s="714" t="s">
        <v>394</v>
      </c>
      <c r="O71" s="715"/>
      <c r="P71" s="707"/>
      <c r="Q71" s="708"/>
    </row>
    <row r="72" spans="1:17" s="5" customFormat="1" ht="47.25" customHeight="1">
      <c r="A72" s="242"/>
      <c r="B72" s="243"/>
      <c r="C72" s="244" t="s">
        <v>396</v>
      </c>
      <c r="D72" s="439">
        <f>(1332000/8)*1*2</f>
        <v>333000</v>
      </c>
      <c r="E72" s="246">
        <f t="shared" ref="E72:O72" si="16">(1332000/8)*1*2</f>
        <v>333000</v>
      </c>
      <c r="F72" s="246">
        <f t="shared" si="16"/>
        <v>333000</v>
      </c>
      <c r="G72" s="246">
        <f t="shared" si="16"/>
        <v>333000</v>
      </c>
      <c r="H72" s="441">
        <f t="shared" si="16"/>
        <v>333000</v>
      </c>
      <c r="I72" s="245">
        <f t="shared" si="16"/>
        <v>333000</v>
      </c>
      <c r="J72" s="439">
        <f t="shared" si="16"/>
        <v>333000</v>
      </c>
      <c r="K72" s="246">
        <f t="shared" si="16"/>
        <v>333000</v>
      </c>
      <c r="L72" s="246">
        <f t="shared" si="16"/>
        <v>333000</v>
      </c>
      <c r="M72" s="447">
        <f t="shared" si="16"/>
        <v>333000</v>
      </c>
      <c r="N72" s="392">
        <f t="shared" si="16"/>
        <v>333000</v>
      </c>
      <c r="O72" s="441">
        <f t="shared" si="16"/>
        <v>333000</v>
      </c>
      <c r="P72" s="697" t="s">
        <v>398</v>
      </c>
      <c r="Q72" s="698"/>
    </row>
    <row r="73" spans="1:17" s="5" customFormat="1" ht="42.75" customHeight="1">
      <c r="A73" s="151"/>
      <c r="B73" s="152"/>
      <c r="C73" s="241" t="s">
        <v>395</v>
      </c>
      <c r="D73" s="440">
        <f>(200000/8)*1*2</f>
        <v>50000</v>
      </c>
      <c r="E73" s="223">
        <f t="shared" ref="E73:O73" si="17">(200000/8)*1*2</f>
        <v>50000</v>
      </c>
      <c r="F73" s="223">
        <f t="shared" si="17"/>
        <v>50000</v>
      </c>
      <c r="G73" s="293">
        <f t="shared" si="17"/>
        <v>50000</v>
      </c>
      <c r="H73" s="235">
        <f t="shared" si="17"/>
        <v>50000</v>
      </c>
      <c r="I73" s="440">
        <f t="shared" si="17"/>
        <v>50000</v>
      </c>
      <c r="J73" s="440">
        <f t="shared" si="17"/>
        <v>50000</v>
      </c>
      <c r="K73" s="223">
        <f t="shared" si="17"/>
        <v>50000</v>
      </c>
      <c r="L73" s="223">
        <f t="shared" si="17"/>
        <v>50000</v>
      </c>
      <c r="M73" s="443">
        <f t="shared" si="17"/>
        <v>50000</v>
      </c>
      <c r="N73" s="440">
        <f t="shared" si="17"/>
        <v>50000</v>
      </c>
      <c r="O73" s="235">
        <f t="shared" si="17"/>
        <v>50000</v>
      </c>
      <c r="P73" s="699" t="s">
        <v>400</v>
      </c>
      <c r="Q73" s="700"/>
    </row>
    <row r="74" spans="1:17" s="5" customFormat="1" ht="37.5" customHeight="1">
      <c r="A74" s="151"/>
      <c r="B74" s="152"/>
      <c r="C74" s="241" t="s">
        <v>253</v>
      </c>
      <c r="D74" s="440">
        <v>100000</v>
      </c>
      <c r="E74" s="223">
        <v>100000</v>
      </c>
      <c r="F74" s="223">
        <v>100000</v>
      </c>
      <c r="G74" s="223">
        <v>100000</v>
      </c>
      <c r="H74" s="442">
        <v>100000</v>
      </c>
      <c r="I74" s="239">
        <v>100000</v>
      </c>
      <c r="J74" s="440">
        <v>100000</v>
      </c>
      <c r="K74" s="223">
        <v>100000</v>
      </c>
      <c r="L74" s="223">
        <v>100000</v>
      </c>
      <c r="M74" s="442">
        <v>100000</v>
      </c>
      <c r="N74" s="234">
        <v>100000</v>
      </c>
      <c r="O74" s="443">
        <v>100000</v>
      </c>
      <c r="P74" s="699" t="s">
        <v>340</v>
      </c>
      <c r="Q74" s="700"/>
    </row>
    <row r="75" spans="1:17" s="5" customFormat="1" ht="40.5" customHeight="1" thickBot="1">
      <c r="A75" s="151"/>
      <c r="B75" s="152"/>
      <c r="C75" s="241" t="s">
        <v>254</v>
      </c>
      <c r="D75" s="440">
        <v>250000</v>
      </c>
      <c r="E75" s="223">
        <v>250000</v>
      </c>
      <c r="F75" s="223">
        <v>250000</v>
      </c>
      <c r="G75" s="223">
        <v>250000</v>
      </c>
      <c r="H75" s="442">
        <v>250000</v>
      </c>
      <c r="I75" s="239">
        <v>250000</v>
      </c>
      <c r="J75" s="448">
        <v>250000</v>
      </c>
      <c r="K75" s="449">
        <v>250000</v>
      </c>
      <c r="L75" s="449">
        <v>250000</v>
      </c>
      <c r="M75" s="450">
        <v>250000</v>
      </c>
      <c r="N75" s="234">
        <v>250000</v>
      </c>
      <c r="O75" s="443">
        <v>250000</v>
      </c>
      <c r="P75" s="699" t="s">
        <v>341</v>
      </c>
      <c r="Q75" s="700"/>
    </row>
    <row r="76" spans="1:17" s="28" customFormat="1" ht="24" customHeight="1">
      <c r="A76" s="335"/>
      <c r="B76" s="336"/>
      <c r="C76" s="455" t="s">
        <v>275</v>
      </c>
      <c r="D76" s="331">
        <f t="shared" ref="D76:O76" si="18">SUM(D72:D75)</f>
        <v>733000</v>
      </c>
      <c r="E76" s="332">
        <f t="shared" si="18"/>
        <v>733000</v>
      </c>
      <c r="F76" s="332">
        <f t="shared" si="18"/>
        <v>733000</v>
      </c>
      <c r="G76" s="332">
        <f t="shared" si="18"/>
        <v>733000</v>
      </c>
      <c r="H76" s="333">
        <f t="shared" si="18"/>
        <v>733000</v>
      </c>
      <c r="I76" s="337">
        <f t="shared" si="18"/>
        <v>733000</v>
      </c>
      <c r="J76" s="444">
        <f t="shared" si="18"/>
        <v>733000</v>
      </c>
      <c r="K76" s="445">
        <f t="shared" si="18"/>
        <v>733000</v>
      </c>
      <c r="L76" s="445">
        <f t="shared" si="18"/>
        <v>733000</v>
      </c>
      <c r="M76" s="446">
        <f t="shared" si="18"/>
        <v>733000</v>
      </c>
      <c r="N76" s="331">
        <f t="shared" si="18"/>
        <v>733000</v>
      </c>
      <c r="O76" s="334">
        <f t="shared" si="18"/>
        <v>733000</v>
      </c>
      <c r="P76" s="701"/>
      <c r="Q76" s="702"/>
    </row>
    <row r="77" spans="1:17" s="60" customFormat="1" ht="19.5" customHeight="1" thickBot="1">
      <c r="A77" s="338"/>
      <c r="B77" s="338"/>
      <c r="C77" s="338"/>
      <c r="P77" s="111"/>
      <c r="Q77" s="111"/>
    </row>
    <row r="78" spans="1:17" s="28" customFormat="1" ht="19.5" customHeight="1">
      <c r="A78" s="663" t="s">
        <v>11</v>
      </c>
      <c r="B78" s="664"/>
      <c r="C78" s="664"/>
      <c r="D78" s="664"/>
      <c r="E78" s="664"/>
      <c r="F78" s="664"/>
      <c r="G78" s="664"/>
      <c r="H78" s="664"/>
      <c r="I78" s="664"/>
      <c r="J78" s="664"/>
      <c r="K78" s="664"/>
      <c r="L78" s="664"/>
      <c r="M78" s="664"/>
      <c r="N78" s="664"/>
      <c r="O78" s="664"/>
      <c r="P78" s="664"/>
      <c r="Q78" s="665"/>
    </row>
    <row r="79" spans="1:17" s="28" customFormat="1" ht="19.5" customHeight="1" thickBot="1">
      <c r="A79" s="666"/>
      <c r="B79" s="667"/>
      <c r="C79" s="667"/>
      <c r="D79" s="667"/>
      <c r="E79" s="667"/>
      <c r="F79" s="667"/>
      <c r="G79" s="667"/>
      <c r="H79" s="667"/>
      <c r="I79" s="667"/>
      <c r="J79" s="667"/>
      <c r="K79" s="667"/>
      <c r="L79" s="667"/>
      <c r="M79" s="667"/>
      <c r="N79" s="667"/>
      <c r="O79" s="667"/>
      <c r="P79" s="667"/>
      <c r="Q79" s="668"/>
    </row>
    <row r="80" spans="1:17" s="28" customFormat="1" ht="19.5" customHeight="1">
      <c r="A80" s="624" t="s">
        <v>31</v>
      </c>
      <c r="B80" s="625"/>
      <c r="C80" s="626"/>
      <c r="D80" s="117" t="s">
        <v>0</v>
      </c>
      <c r="E80" s="230" t="s">
        <v>1</v>
      </c>
      <c r="F80" s="230" t="s">
        <v>2</v>
      </c>
      <c r="G80" s="230" t="s">
        <v>3</v>
      </c>
      <c r="H80" s="231" t="s">
        <v>4</v>
      </c>
      <c r="I80" s="238" t="s">
        <v>5</v>
      </c>
      <c r="J80" s="117" t="s">
        <v>6</v>
      </c>
      <c r="K80" s="230" t="s">
        <v>7</v>
      </c>
      <c r="L80" s="230" t="s">
        <v>8</v>
      </c>
      <c r="M80" s="231" t="s">
        <v>168</v>
      </c>
      <c r="N80" s="117" t="s">
        <v>169</v>
      </c>
      <c r="O80" s="231" t="s">
        <v>170</v>
      </c>
      <c r="P80" s="712" t="s">
        <v>94</v>
      </c>
      <c r="Q80" s="713"/>
    </row>
    <row r="81" spans="1:17" s="5" customFormat="1" ht="40.5" customHeight="1" thickBot="1">
      <c r="A81" s="627"/>
      <c r="B81" s="628"/>
      <c r="C81" s="629"/>
      <c r="D81" s="756" t="s">
        <v>393</v>
      </c>
      <c r="E81" s="757"/>
      <c r="F81" s="757"/>
      <c r="G81" s="757"/>
      <c r="H81" s="758"/>
      <c r="I81" s="400" t="s">
        <v>394</v>
      </c>
      <c r="J81" s="759" t="s">
        <v>394</v>
      </c>
      <c r="K81" s="760"/>
      <c r="L81" s="760"/>
      <c r="M81" s="761"/>
      <c r="N81" s="762" t="s">
        <v>394</v>
      </c>
      <c r="O81" s="763"/>
      <c r="P81" s="707"/>
      <c r="Q81" s="708"/>
    </row>
    <row r="82" spans="1:17" s="28" customFormat="1" ht="63.75" customHeight="1" thickBot="1">
      <c r="A82" s="630" t="s">
        <v>355</v>
      </c>
      <c r="B82" s="631"/>
      <c r="C82" s="632"/>
      <c r="D82" s="451">
        <f>SUM(D72:D73)*1*4</f>
        <v>1532000</v>
      </c>
      <c r="E82" s="453">
        <f t="shared" ref="E82:O82" si="19">SUM(E72:E73)*1*4</f>
        <v>1532000</v>
      </c>
      <c r="F82" s="453">
        <f t="shared" si="19"/>
        <v>1532000</v>
      </c>
      <c r="G82" s="453">
        <f t="shared" si="19"/>
        <v>1532000</v>
      </c>
      <c r="H82" s="452">
        <f t="shared" si="19"/>
        <v>1532000</v>
      </c>
      <c r="I82" s="451">
        <f t="shared" si="19"/>
        <v>1532000</v>
      </c>
      <c r="J82" s="451">
        <f t="shared" si="19"/>
        <v>1532000</v>
      </c>
      <c r="K82" s="453">
        <f t="shared" si="19"/>
        <v>1532000</v>
      </c>
      <c r="L82" s="453">
        <f t="shared" si="19"/>
        <v>1532000</v>
      </c>
      <c r="M82" s="452">
        <f t="shared" si="19"/>
        <v>1532000</v>
      </c>
      <c r="N82" s="451">
        <f t="shared" si="19"/>
        <v>1532000</v>
      </c>
      <c r="O82" s="454">
        <f t="shared" si="19"/>
        <v>1532000</v>
      </c>
      <c r="P82" s="754" t="s">
        <v>399</v>
      </c>
      <c r="Q82" s="755"/>
    </row>
    <row r="83" spans="1:17" s="28" customFormat="1" ht="19.5" customHeight="1">
      <c r="A83" s="335"/>
      <c r="B83" s="336"/>
      <c r="C83" s="330" t="s">
        <v>356</v>
      </c>
      <c r="D83" s="395">
        <f t="shared" ref="D83:K83" si="20">SUM(D79:D82)</f>
        <v>1532000</v>
      </c>
      <c r="E83" s="396">
        <f t="shared" si="20"/>
        <v>1532000</v>
      </c>
      <c r="F83" s="396">
        <f t="shared" si="20"/>
        <v>1532000</v>
      </c>
      <c r="G83" s="396">
        <f t="shared" si="20"/>
        <v>1532000</v>
      </c>
      <c r="H83" s="397">
        <f t="shared" si="20"/>
        <v>1532000</v>
      </c>
      <c r="I83" s="398">
        <f t="shared" si="20"/>
        <v>1532000</v>
      </c>
      <c r="J83" s="395">
        <f t="shared" si="20"/>
        <v>1532000</v>
      </c>
      <c r="K83" s="396">
        <f t="shared" si="20"/>
        <v>1532000</v>
      </c>
      <c r="L83" s="396">
        <f t="shared" ref="L83:O83" si="21">SUM(L79:L82)</f>
        <v>1532000</v>
      </c>
      <c r="M83" s="397">
        <f t="shared" si="21"/>
        <v>1532000</v>
      </c>
      <c r="N83" s="384">
        <f>SUM(N79:N82)</f>
        <v>1532000</v>
      </c>
      <c r="O83" s="399">
        <f t="shared" si="21"/>
        <v>1532000</v>
      </c>
      <c r="P83" s="701"/>
      <c r="Q83" s="702"/>
    </row>
    <row r="84" spans="1:17" s="28" customFormat="1"/>
    <row r="85" spans="1:17" s="28" customFormat="1" ht="15.75" thickBot="1"/>
    <row r="86" spans="1:17" s="28" customFormat="1" ht="25.5" customHeight="1" thickBot="1">
      <c r="C86" s="374"/>
      <c r="D86" s="664" t="str">
        <f>'05-ED-2014'!B18</f>
        <v>CORTE Y BISELADO</v>
      </c>
      <c r="E86" s="664"/>
      <c r="F86" s="664"/>
      <c r="G86" s="664"/>
      <c r="H86" s="664"/>
      <c r="I86" s="664"/>
      <c r="J86" s="664"/>
      <c r="K86" s="664"/>
      <c r="L86" s="664"/>
      <c r="M86" s="664"/>
      <c r="N86" s="664"/>
      <c r="O86" s="664"/>
      <c r="P86" s="404"/>
      <c r="Q86" s="405"/>
    </row>
    <row r="87" spans="1:17" s="28" customFormat="1" ht="19.5" customHeight="1">
      <c r="C87" s="350"/>
      <c r="D87" s="372" t="s">
        <v>0</v>
      </c>
      <c r="E87" s="262" t="s">
        <v>1</v>
      </c>
      <c r="F87" s="262" t="s">
        <v>2</v>
      </c>
      <c r="G87" s="262" t="s">
        <v>3</v>
      </c>
      <c r="H87" s="262" t="s">
        <v>4</v>
      </c>
      <c r="I87" s="262" t="s">
        <v>5</v>
      </c>
      <c r="J87" s="262" t="s">
        <v>6</v>
      </c>
      <c r="K87" s="262" t="s">
        <v>7</v>
      </c>
      <c r="L87" s="262" t="s">
        <v>8</v>
      </c>
      <c r="M87" s="262" t="s">
        <v>168</v>
      </c>
      <c r="N87" s="262" t="s">
        <v>169</v>
      </c>
      <c r="O87" s="402" t="s">
        <v>170</v>
      </c>
      <c r="P87" s="314"/>
      <c r="Q87" s="34"/>
    </row>
    <row r="88" spans="1:17" s="28" customFormat="1">
      <c r="C88" s="375" t="s">
        <v>365</v>
      </c>
      <c r="D88" s="313">
        <f>D89*('03-APU-NUEV UNC 2014'!$E$92*('03-APU-NUEV UNC 2014'!$E$93/'03-APU-NUEV UNC 2014'!$F$93)+'03-APU-NUEV UNC 2014'!$E$94*('03-APU-NUEV UNC 2014'!$E$95/'03-APU-NUEV UNC 2014'!$F$95))</f>
        <v>471176.76161116624</v>
      </c>
      <c r="E88" s="77">
        <f>E89*('03-APU-NUEV UNC 2014'!$E$92*('03-APU-NUEV UNC 2014'!$E$93/'03-APU-NUEV UNC 2014'!$F$93)+'03-APU-NUEV UNC 2014'!$E$94*('03-APU-NUEV UNC 2014'!$E$95/'03-APU-NUEV UNC 2014'!$F$95))</f>
        <v>673109.65944452316</v>
      </c>
      <c r="F88" s="77">
        <f>F89*('03-APU-NUEV UNC 2014'!$E$92*('03-APU-NUEV UNC 2014'!$E$93/'03-APU-NUEV UNC 2014'!$F$93)+'03-APU-NUEV UNC 2014'!$E$94*('03-APU-NUEV UNC 2014'!$E$95/'03-APU-NUEV UNC 2014'!$F$95))</f>
        <v>875042.55727788014</v>
      </c>
      <c r="G88" s="77">
        <f>G89*('03-APU-NUEV UNC 2014'!$E$92*('03-APU-NUEV UNC 2014'!$E$93/'03-APU-NUEV UNC 2014'!$F$93)+'03-APU-NUEV UNC 2014'!$E$94*('03-APU-NUEV UNC 2014'!$E$95/'03-APU-NUEV UNC 2014'!$F$95))</f>
        <v>1278908.3529445941</v>
      </c>
      <c r="H88" s="77">
        <f>H89*('03-APU-NUEV UNC 2014'!$E$92*('03-APU-NUEV UNC 2014'!$E$93/'03-APU-NUEV UNC 2014'!$F$93)+'03-APU-NUEV UNC 2014'!$E$94*('03-APU-NUEV UNC 2014'!$E$95/'03-APU-NUEV UNC 2014'!$F$95))</f>
        <v>1615463.1826668556</v>
      </c>
      <c r="I88" s="77">
        <f>I89*('03-APU-NUEV UNC 2014'!$E$92*('03-APU-NUEV UNC 2014'!$E$93/'03-APU-NUEV UNC 2014'!$F$93)+'03-APU-NUEV UNC 2014'!$E$94*('03-APU-NUEV UNC 2014'!$E$95/'03-APU-NUEV UNC 2014'!$F$95))</f>
        <v>2019328.9783335696</v>
      </c>
      <c r="J88" s="77">
        <f>J89*('03-APU-NUEV UNC 2014'!$E$92*('03-APU-NUEV UNC 2014'!$E$93/'03-APU-NUEV UNC 2014'!$F$93)+'03-APU-NUEV UNC 2014'!$E$94*('03-APU-NUEV UNC 2014'!$E$95/'03-APU-NUEV UNC 2014'!$F$95))</f>
        <v>2423194.7740002833</v>
      </c>
      <c r="K88" s="77">
        <f>K89*('03-APU-NUEV UNC 2014'!$E$92*('03-APU-NUEV UNC 2014'!$E$93/'03-APU-NUEV UNC 2014'!$F$93)+'03-APU-NUEV UNC 2014'!$E$94*('03-APU-NUEV UNC 2014'!$E$95/'03-APU-NUEV UNC 2014'!$F$95))</f>
        <v>2827060.5696669975</v>
      </c>
      <c r="L88" s="77">
        <f>L89*('03-APU-NUEV UNC 2014'!$E$92*('03-APU-NUEV UNC 2014'!$E$93/'03-APU-NUEV UNC 2014'!$F$93)+'03-APU-NUEV UNC 2014'!$E$94*('03-APU-NUEV UNC 2014'!$E$95/'03-APU-NUEV UNC 2014'!$F$95))</f>
        <v>3230926.3653337113</v>
      </c>
      <c r="M88" s="77">
        <f>L88</f>
        <v>3230926.3653337113</v>
      </c>
      <c r="N88" s="77">
        <f>L88</f>
        <v>3230926.3653337113</v>
      </c>
      <c r="O88" s="403">
        <f>L88</f>
        <v>3230926.3653337113</v>
      </c>
      <c r="P88" s="315"/>
      <c r="Q88" s="34"/>
    </row>
    <row r="89" spans="1:17" s="28" customFormat="1" ht="32.25" customHeight="1" thickBot="1">
      <c r="C89" s="376" t="s">
        <v>219</v>
      </c>
      <c r="D89" s="373">
        <v>350000</v>
      </c>
      <c r="E89" s="162">
        <v>500000</v>
      </c>
      <c r="F89" s="162">
        <v>650000</v>
      </c>
      <c r="G89" s="162">
        <v>950000</v>
      </c>
      <c r="H89" s="162">
        <v>1200000</v>
      </c>
      <c r="I89" s="162">
        <v>1500000</v>
      </c>
      <c r="J89" s="162">
        <v>1800000</v>
      </c>
      <c r="K89" s="162">
        <v>2100000</v>
      </c>
      <c r="L89" s="162">
        <v>2400000</v>
      </c>
      <c r="M89" s="162"/>
      <c r="N89" s="162"/>
      <c r="O89" s="401"/>
      <c r="P89" s="790" t="s">
        <v>363</v>
      </c>
      <c r="Q89" s="791"/>
    </row>
    <row r="90" spans="1:17" s="28" customFormat="1" ht="6.75" customHeight="1" thickBot="1"/>
    <row r="91" spans="1:17" s="28" customFormat="1">
      <c r="C91" s="377" t="s">
        <v>208</v>
      </c>
      <c r="D91" s="378"/>
      <c r="E91" s="379">
        <v>2014</v>
      </c>
      <c r="F91" s="380">
        <v>2004</v>
      </c>
    </row>
    <row r="92" spans="1:17" s="28" customFormat="1">
      <c r="C92" s="381" t="s">
        <v>198</v>
      </c>
      <c r="D92" s="316"/>
      <c r="E92" s="417">
        <v>0.32</v>
      </c>
      <c r="F92" s="14"/>
    </row>
    <row r="93" spans="1:17" s="28" customFormat="1">
      <c r="C93" s="381" t="s">
        <v>346</v>
      </c>
      <c r="D93" s="316"/>
      <c r="E93" s="418">
        <v>117.48858</v>
      </c>
      <c r="F93" s="418">
        <v>79.96987</v>
      </c>
    </row>
    <row r="94" spans="1:17" s="28" customFormat="1">
      <c r="C94" s="381" t="s">
        <v>199</v>
      </c>
      <c r="D94" s="316"/>
      <c r="E94" s="417">
        <v>0.68</v>
      </c>
      <c r="F94" s="14"/>
    </row>
    <row r="95" spans="1:17" s="28" customFormat="1" ht="15.75" thickBot="1">
      <c r="C95" s="382" t="s">
        <v>200</v>
      </c>
      <c r="D95" s="317"/>
      <c r="E95" s="75">
        <v>120.14</v>
      </c>
      <c r="F95" s="75">
        <v>93.25</v>
      </c>
    </row>
    <row r="96" spans="1:17" s="28" customFormat="1"/>
    <row r="97" spans="1:17" s="28" customFormat="1" ht="15.75" thickBot="1"/>
    <row r="98" spans="1:17" s="28" customFormat="1" ht="15" customHeight="1">
      <c r="A98" s="792" t="s">
        <v>185</v>
      </c>
      <c r="B98" s="793"/>
      <c r="C98" s="793"/>
      <c r="D98" s="794"/>
      <c r="E98" s="801" t="s">
        <v>187</v>
      </c>
      <c r="F98" s="801"/>
      <c r="G98" s="801"/>
      <c r="H98" s="801"/>
      <c r="I98" s="801"/>
      <c r="J98" s="801"/>
      <c r="K98" s="801"/>
      <c r="L98" s="801"/>
      <c r="M98" s="801"/>
      <c r="N98" s="801"/>
      <c r="O98" s="802"/>
      <c r="P98" s="722" t="s">
        <v>189</v>
      </c>
      <c r="Q98" s="723"/>
    </row>
    <row r="99" spans="1:17" s="28" customFormat="1" ht="15" customHeight="1">
      <c r="A99" s="795"/>
      <c r="B99" s="796"/>
      <c r="C99" s="796"/>
      <c r="D99" s="797"/>
      <c r="E99" s="803"/>
      <c r="F99" s="803"/>
      <c r="G99" s="803"/>
      <c r="H99" s="803"/>
      <c r="I99" s="803"/>
      <c r="J99" s="803"/>
      <c r="K99" s="803"/>
      <c r="L99" s="803"/>
      <c r="M99" s="803"/>
      <c r="N99" s="803"/>
      <c r="O99" s="804"/>
      <c r="P99" s="724"/>
      <c r="Q99" s="725"/>
    </row>
    <row r="100" spans="1:17" s="28" customFormat="1" ht="15.75" customHeight="1">
      <c r="A100" s="795"/>
      <c r="B100" s="796"/>
      <c r="C100" s="796"/>
      <c r="D100" s="797"/>
      <c r="E100" s="805" t="s">
        <v>188</v>
      </c>
      <c r="F100" s="805"/>
      <c r="G100" s="805"/>
      <c r="H100" s="805"/>
      <c r="I100" s="805"/>
      <c r="J100" s="805"/>
      <c r="K100" s="805"/>
      <c r="L100" s="805"/>
      <c r="M100" s="805"/>
      <c r="N100" s="805"/>
      <c r="O100" s="806"/>
      <c r="P100" s="724" t="s">
        <v>95</v>
      </c>
      <c r="Q100" s="725"/>
    </row>
    <row r="101" spans="1:17" s="28" customFormat="1" ht="15" customHeight="1" thickBot="1">
      <c r="A101" s="798"/>
      <c r="B101" s="799"/>
      <c r="C101" s="799"/>
      <c r="D101" s="800"/>
      <c r="E101" s="807"/>
      <c r="F101" s="807"/>
      <c r="G101" s="807"/>
      <c r="H101" s="807"/>
      <c r="I101" s="807"/>
      <c r="J101" s="807"/>
      <c r="K101" s="807"/>
      <c r="L101" s="807"/>
      <c r="M101" s="807"/>
      <c r="N101" s="807"/>
      <c r="O101" s="808"/>
      <c r="P101" s="737">
        <v>41948</v>
      </c>
      <c r="Q101" s="738"/>
    </row>
    <row r="102" spans="1:17" ht="9" customHeight="1">
      <c r="A102" s="663" t="s">
        <v>165</v>
      </c>
      <c r="B102" s="664"/>
      <c r="C102" s="664"/>
      <c r="D102" s="664"/>
      <c r="E102" s="664"/>
      <c r="F102" s="664"/>
      <c r="G102" s="664"/>
      <c r="H102" s="664"/>
      <c r="I102" s="664"/>
      <c r="J102" s="664"/>
      <c r="K102" s="664"/>
      <c r="L102" s="664"/>
      <c r="M102" s="664"/>
      <c r="N102" s="664"/>
      <c r="O102" s="664"/>
      <c r="P102" s="664"/>
      <c r="Q102" s="665"/>
    </row>
    <row r="103" spans="1:17" ht="13.5" customHeight="1">
      <c r="A103" s="666"/>
      <c r="B103" s="667"/>
      <c r="C103" s="667"/>
      <c r="D103" s="667"/>
      <c r="E103" s="667"/>
      <c r="F103" s="667"/>
      <c r="G103" s="667"/>
      <c r="H103" s="667"/>
      <c r="I103" s="667"/>
      <c r="J103" s="667"/>
      <c r="K103" s="667"/>
      <c r="L103" s="667"/>
      <c r="M103" s="667"/>
      <c r="N103" s="667"/>
      <c r="O103" s="667"/>
      <c r="P103" s="667"/>
      <c r="Q103" s="668"/>
    </row>
    <row r="104" spans="1:17" ht="15.75" thickBot="1">
      <c r="A104" s="652" t="s">
        <v>31</v>
      </c>
      <c r="B104" s="653"/>
      <c r="C104" s="653"/>
      <c r="D104" s="371" t="s">
        <v>0</v>
      </c>
      <c r="E104" s="51" t="s">
        <v>1</v>
      </c>
      <c r="F104" s="51" t="s">
        <v>2</v>
      </c>
      <c r="G104" s="51" t="s">
        <v>3</v>
      </c>
      <c r="H104" s="51" t="s">
        <v>4</v>
      </c>
      <c r="I104" s="51" t="s">
        <v>5</v>
      </c>
      <c r="J104" s="51" t="s">
        <v>6</v>
      </c>
      <c r="K104" s="51" t="s">
        <v>7</v>
      </c>
      <c r="L104" s="51" t="s">
        <v>8</v>
      </c>
      <c r="M104" s="51" t="s">
        <v>168</v>
      </c>
      <c r="N104" s="51" t="s">
        <v>169</v>
      </c>
      <c r="O104" s="51" t="s">
        <v>170</v>
      </c>
      <c r="P104" s="644" t="s">
        <v>94</v>
      </c>
      <c r="Q104" s="645"/>
    </row>
    <row r="105" spans="1:17">
      <c r="A105" s="47"/>
      <c r="B105" s="48" t="s">
        <v>57</v>
      </c>
      <c r="C105" s="365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739"/>
      <c r="Q105" s="740"/>
    </row>
    <row r="106" spans="1:17" ht="15.75">
      <c r="A106" s="39"/>
      <c r="B106" s="36"/>
      <c r="C106" s="41" t="s">
        <v>157</v>
      </c>
      <c r="D106" s="366">
        <f>4000000/360</f>
        <v>11111.111111111111</v>
      </c>
      <c r="E106" s="366">
        <f t="shared" ref="E106:O106" si="22">4000000/360</f>
        <v>11111.111111111111</v>
      </c>
      <c r="F106" s="366">
        <f t="shared" si="22"/>
        <v>11111.111111111111</v>
      </c>
      <c r="G106" s="366">
        <f t="shared" si="22"/>
        <v>11111.111111111111</v>
      </c>
      <c r="H106" s="366">
        <f t="shared" si="22"/>
        <v>11111.111111111111</v>
      </c>
      <c r="I106" s="366">
        <f t="shared" si="22"/>
        <v>11111.111111111111</v>
      </c>
      <c r="J106" s="366">
        <f t="shared" si="22"/>
        <v>11111.111111111111</v>
      </c>
      <c r="K106" s="366">
        <f t="shared" si="22"/>
        <v>11111.111111111111</v>
      </c>
      <c r="L106" s="366">
        <f t="shared" si="22"/>
        <v>11111.111111111111</v>
      </c>
      <c r="M106" s="366">
        <f t="shared" si="22"/>
        <v>11111.111111111111</v>
      </c>
      <c r="N106" s="366">
        <f t="shared" si="22"/>
        <v>11111.111111111111</v>
      </c>
      <c r="O106" s="366">
        <f t="shared" si="22"/>
        <v>11111.111111111111</v>
      </c>
      <c r="P106" s="640" t="s">
        <v>367</v>
      </c>
      <c r="Q106" s="641"/>
    </row>
    <row r="107" spans="1:17" ht="14.25" customHeight="1">
      <c r="A107" s="39"/>
      <c r="B107" s="40" t="s">
        <v>100</v>
      </c>
      <c r="C107" s="41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744"/>
      <c r="Q107" s="745"/>
    </row>
    <row r="108" spans="1:17" ht="33.75" customHeight="1">
      <c r="A108" s="39"/>
      <c r="B108" s="36"/>
      <c r="C108" s="41" t="s">
        <v>158</v>
      </c>
      <c r="D108" s="366">
        <f>[1]Intervento!$E$39</f>
        <v>6776.4768414589134</v>
      </c>
      <c r="E108" s="366">
        <f>[1]Intervento!$E$39</f>
        <v>6776.4768414589134</v>
      </c>
      <c r="F108" s="366">
        <f>[1]Intervento!$E$39</f>
        <v>6776.4768414589134</v>
      </c>
      <c r="G108" s="366">
        <f>[1]Intervento!$E$39</f>
        <v>6776.4768414589134</v>
      </c>
      <c r="H108" s="366">
        <f>[1]Intervento!$E$39</f>
        <v>6776.4768414589134</v>
      </c>
      <c r="I108" s="366">
        <f>[1]Intervento!$E$39</f>
        <v>6776.4768414589134</v>
      </c>
      <c r="J108" s="366">
        <f>[1]Intervento!$E$39</f>
        <v>6776.4768414589134</v>
      </c>
      <c r="K108" s="366">
        <f>[1]Intervento!$E$39</f>
        <v>6776.4768414589134</v>
      </c>
      <c r="L108" s="366">
        <f>[1]Intervento!$E$39</f>
        <v>6776.4768414589134</v>
      </c>
      <c r="M108" s="366">
        <f>[1]Intervento!$E$39</f>
        <v>6776.4768414589134</v>
      </c>
      <c r="N108" s="366">
        <f>[1]Intervento!$E$39</f>
        <v>6776.4768414589134</v>
      </c>
      <c r="O108" s="366">
        <f>[1]Intervento!$E$39</f>
        <v>6776.4768414589134</v>
      </c>
      <c r="P108" s="636" t="s">
        <v>366</v>
      </c>
      <c r="Q108" s="637"/>
    </row>
    <row r="109" spans="1:17" ht="25.5" customHeight="1">
      <c r="A109" s="42"/>
      <c r="B109" s="43"/>
      <c r="C109" s="44" t="s">
        <v>159</v>
      </c>
      <c r="D109" s="367">
        <v>4611.1111111111113</v>
      </c>
      <c r="E109" s="37">
        <v>4611.1111111111113</v>
      </c>
      <c r="F109" s="37">
        <v>4611.1111111111113</v>
      </c>
      <c r="G109" s="37">
        <v>4611.1111111111113</v>
      </c>
      <c r="H109" s="37">
        <v>4611.1111111111113</v>
      </c>
      <c r="I109" s="37">
        <v>4611.1111111111113</v>
      </c>
      <c r="J109" s="37">
        <v>4611.1111111111113</v>
      </c>
      <c r="K109" s="37">
        <v>4611.1111111111113</v>
      </c>
      <c r="L109" s="37">
        <v>4611.1111111111113</v>
      </c>
      <c r="M109" s="37">
        <v>4611.1111111111113</v>
      </c>
      <c r="N109" s="37">
        <v>4611.1111111111113</v>
      </c>
      <c r="O109" s="37">
        <v>4611.1111111111113</v>
      </c>
      <c r="P109" s="636" t="s">
        <v>160</v>
      </c>
      <c r="Q109" s="637"/>
    </row>
    <row r="110" spans="1:17" ht="30.75" customHeight="1">
      <c r="A110" s="39"/>
      <c r="B110" s="36"/>
      <c r="C110" s="45" t="s">
        <v>161</v>
      </c>
      <c r="D110" s="366">
        <f>5000000/360</f>
        <v>13888.888888888889</v>
      </c>
      <c r="E110" s="35">
        <f t="shared" ref="E110:O110" si="23">5000000/360</f>
        <v>13888.888888888889</v>
      </c>
      <c r="F110" s="35">
        <f t="shared" si="23"/>
        <v>13888.888888888889</v>
      </c>
      <c r="G110" s="35">
        <f t="shared" si="23"/>
        <v>13888.888888888889</v>
      </c>
      <c r="H110" s="35">
        <f t="shared" si="23"/>
        <v>13888.888888888889</v>
      </c>
      <c r="I110" s="35">
        <f t="shared" si="23"/>
        <v>13888.888888888889</v>
      </c>
      <c r="J110" s="35">
        <f t="shared" si="23"/>
        <v>13888.888888888889</v>
      </c>
      <c r="K110" s="35">
        <f t="shared" si="23"/>
        <v>13888.888888888889</v>
      </c>
      <c r="L110" s="35">
        <f t="shared" si="23"/>
        <v>13888.888888888889</v>
      </c>
      <c r="M110" s="35">
        <f t="shared" si="23"/>
        <v>13888.888888888889</v>
      </c>
      <c r="N110" s="35">
        <f t="shared" si="23"/>
        <v>13888.888888888889</v>
      </c>
      <c r="O110" s="35">
        <f t="shared" si="23"/>
        <v>13888.888888888889</v>
      </c>
      <c r="P110" s="636" t="s">
        <v>162</v>
      </c>
      <c r="Q110" s="637"/>
    </row>
    <row r="111" spans="1:17">
      <c r="A111" s="39"/>
      <c r="B111" s="40" t="s">
        <v>54</v>
      </c>
      <c r="C111" s="41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809"/>
      <c r="Q111" s="810"/>
    </row>
    <row r="112" spans="1:17" ht="25.5" customHeight="1">
      <c r="A112" s="46"/>
      <c r="B112" s="36"/>
      <c r="C112" s="45" t="s">
        <v>155</v>
      </c>
      <c r="D112" s="366">
        <f>'02-HH-2014'!$C$10</f>
        <v>265686.27339793002</v>
      </c>
      <c r="E112" s="366">
        <f>'02-HH-2014'!$C$10</f>
        <v>265686.27339793002</v>
      </c>
      <c r="F112" s="366">
        <f>'02-HH-2014'!$C$10</f>
        <v>265686.27339793002</v>
      </c>
      <c r="G112" s="366">
        <f>'02-HH-2014'!$C$10</f>
        <v>265686.27339793002</v>
      </c>
      <c r="H112" s="366">
        <f>'02-HH-2014'!$C$10</f>
        <v>265686.27339793002</v>
      </c>
      <c r="I112" s="366">
        <f>'02-HH-2014'!$C$10</f>
        <v>265686.27339793002</v>
      </c>
      <c r="J112" s="366">
        <f>'02-HH-2014'!$C$10</f>
        <v>265686.27339793002</v>
      </c>
      <c r="K112" s="366">
        <f>'02-HH-2014'!$C$10</f>
        <v>265686.27339793002</v>
      </c>
      <c r="L112" s="366">
        <f>'02-HH-2014'!$C$10</f>
        <v>265686.27339793002</v>
      </c>
      <c r="M112" s="366">
        <f>'02-HH-2014'!$C$10</f>
        <v>265686.27339793002</v>
      </c>
      <c r="N112" s="366">
        <f>'02-HH-2014'!$C$10</f>
        <v>265686.27339793002</v>
      </c>
      <c r="O112" s="366">
        <f>'02-HH-2014'!$C$10</f>
        <v>265686.27339793002</v>
      </c>
      <c r="P112" s="636" t="s">
        <v>163</v>
      </c>
      <c r="Q112" s="637"/>
    </row>
    <row r="113" spans="1:17" ht="4.5" customHeight="1">
      <c r="A113" s="33"/>
      <c r="B113" s="2"/>
      <c r="C113" s="9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813"/>
      <c r="Q113" s="814"/>
    </row>
    <row r="114" spans="1:17" ht="27.75" customHeight="1" thickBot="1">
      <c r="A114" s="654" t="s">
        <v>164</v>
      </c>
      <c r="B114" s="655"/>
      <c r="C114" s="655"/>
      <c r="D114" s="233">
        <f t="shared" ref="D114:O114" si="24">SUM(D106:D112)</f>
        <v>302073.86135050002</v>
      </c>
      <c r="E114" s="38">
        <f t="shared" si="24"/>
        <v>302073.86135050002</v>
      </c>
      <c r="F114" s="38">
        <f t="shared" si="24"/>
        <v>302073.86135050002</v>
      </c>
      <c r="G114" s="38">
        <f t="shared" si="24"/>
        <v>302073.86135050002</v>
      </c>
      <c r="H114" s="38">
        <f t="shared" si="24"/>
        <v>302073.86135050002</v>
      </c>
      <c r="I114" s="38">
        <f t="shared" si="24"/>
        <v>302073.86135050002</v>
      </c>
      <c r="J114" s="38">
        <f t="shared" si="24"/>
        <v>302073.86135050002</v>
      </c>
      <c r="K114" s="38">
        <f t="shared" si="24"/>
        <v>302073.86135050002</v>
      </c>
      <c r="L114" s="38">
        <f t="shared" si="24"/>
        <v>302073.86135050002</v>
      </c>
      <c r="M114" s="38">
        <f t="shared" si="24"/>
        <v>302073.86135050002</v>
      </c>
      <c r="N114" s="38">
        <f t="shared" si="24"/>
        <v>302073.86135050002</v>
      </c>
      <c r="O114" s="38">
        <f t="shared" si="24"/>
        <v>302073.86135050002</v>
      </c>
      <c r="P114" s="718"/>
      <c r="Q114" s="719"/>
    </row>
    <row r="116" spans="1:17" ht="15.75" thickBot="1"/>
    <row r="117" spans="1:17" ht="15" customHeight="1">
      <c r="A117" s="663" t="s">
        <v>36</v>
      </c>
      <c r="B117" s="664"/>
      <c r="C117" s="664"/>
      <c r="D117" s="664"/>
      <c r="E117" s="664"/>
      <c r="F117" s="664"/>
      <c r="G117" s="664"/>
      <c r="H117" s="664"/>
      <c r="I117" s="664"/>
      <c r="J117" s="664"/>
      <c r="K117" s="664"/>
      <c r="L117" s="664"/>
      <c r="M117" s="664"/>
      <c r="N117" s="664"/>
      <c r="O117" s="664"/>
      <c r="P117" s="664"/>
      <c r="Q117" s="665"/>
    </row>
    <row r="118" spans="1:17" ht="15.75" customHeight="1">
      <c r="A118" s="666"/>
      <c r="B118" s="667"/>
      <c r="C118" s="667"/>
      <c r="D118" s="667"/>
      <c r="E118" s="667"/>
      <c r="F118" s="667"/>
      <c r="G118" s="667"/>
      <c r="H118" s="667"/>
      <c r="I118" s="667"/>
      <c r="J118" s="667"/>
      <c r="K118" s="667"/>
      <c r="L118" s="667"/>
      <c r="M118" s="667"/>
      <c r="N118" s="667"/>
      <c r="O118" s="667"/>
      <c r="P118" s="667"/>
      <c r="Q118" s="668"/>
    </row>
    <row r="119" spans="1:17" ht="15.75" thickBot="1">
      <c r="A119" s="652" t="s">
        <v>31</v>
      </c>
      <c r="B119" s="653"/>
      <c r="C119" s="653"/>
      <c r="D119" s="371" t="s">
        <v>0</v>
      </c>
      <c r="E119" s="51" t="s">
        <v>1</v>
      </c>
      <c r="F119" s="51" t="s">
        <v>2</v>
      </c>
      <c r="G119" s="51" t="s">
        <v>3</v>
      </c>
      <c r="H119" s="51" t="s">
        <v>4</v>
      </c>
      <c r="I119" s="51" t="s">
        <v>5</v>
      </c>
      <c r="J119" s="51" t="s">
        <v>6</v>
      </c>
      <c r="K119" s="51" t="s">
        <v>7</v>
      </c>
      <c r="L119" s="51" t="s">
        <v>8</v>
      </c>
      <c r="M119" s="51" t="s">
        <v>168</v>
      </c>
      <c r="N119" s="51" t="s">
        <v>169</v>
      </c>
      <c r="O119" s="51" t="s">
        <v>170</v>
      </c>
      <c r="P119" s="669" t="s">
        <v>94</v>
      </c>
      <c r="Q119" s="670"/>
    </row>
    <row r="120" spans="1:17">
      <c r="A120" s="47"/>
      <c r="B120" s="48" t="s">
        <v>57</v>
      </c>
      <c r="C120" s="365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744"/>
      <c r="Q120" s="745"/>
    </row>
    <row r="121" spans="1:17" ht="15.75">
      <c r="A121" s="39"/>
      <c r="B121" s="36"/>
      <c r="C121" s="41" t="s">
        <v>157</v>
      </c>
      <c r="D121" s="366">
        <f>4000000/360</f>
        <v>11111.111111111111</v>
      </c>
      <c r="E121" s="366">
        <f t="shared" ref="E121:O121" si="25">4000000/360</f>
        <v>11111.111111111111</v>
      </c>
      <c r="F121" s="366">
        <f t="shared" si="25"/>
        <v>11111.111111111111</v>
      </c>
      <c r="G121" s="366">
        <f t="shared" si="25"/>
        <v>11111.111111111111</v>
      </c>
      <c r="H121" s="366">
        <f t="shared" si="25"/>
        <v>11111.111111111111</v>
      </c>
      <c r="I121" s="366">
        <f t="shared" si="25"/>
        <v>11111.111111111111</v>
      </c>
      <c r="J121" s="366">
        <f t="shared" si="25"/>
        <v>11111.111111111111</v>
      </c>
      <c r="K121" s="366">
        <f t="shared" si="25"/>
        <v>11111.111111111111</v>
      </c>
      <c r="L121" s="366">
        <f t="shared" si="25"/>
        <v>11111.111111111111</v>
      </c>
      <c r="M121" s="366">
        <f t="shared" si="25"/>
        <v>11111.111111111111</v>
      </c>
      <c r="N121" s="366">
        <f t="shared" si="25"/>
        <v>11111.111111111111</v>
      </c>
      <c r="O121" s="366">
        <f t="shared" si="25"/>
        <v>11111.111111111111</v>
      </c>
      <c r="P121" s="640" t="s">
        <v>367</v>
      </c>
      <c r="Q121" s="641"/>
    </row>
    <row r="122" spans="1:17">
      <c r="A122" s="39"/>
      <c r="B122" s="40" t="s">
        <v>100</v>
      </c>
      <c r="C122" s="41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716"/>
      <c r="Q122" s="717"/>
    </row>
    <row r="123" spans="1:17" ht="24.75" customHeight="1">
      <c r="A123" s="39"/>
      <c r="B123" s="36"/>
      <c r="C123" s="41" t="s">
        <v>158</v>
      </c>
      <c r="D123" s="366">
        <f>D108</f>
        <v>6776.4768414589134</v>
      </c>
      <c r="E123" s="366">
        <f t="shared" ref="E123:O123" si="26">E108</f>
        <v>6776.4768414589134</v>
      </c>
      <c r="F123" s="366">
        <f t="shared" si="26"/>
        <v>6776.4768414589134</v>
      </c>
      <c r="G123" s="366">
        <f t="shared" si="26"/>
        <v>6776.4768414589134</v>
      </c>
      <c r="H123" s="366">
        <f t="shared" si="26"/>
        <v>6776.4768414589134</v>
      </c>
      <c r="I123" s="366">
        <f t="shared" si="26"/>
        <v>6776.4768414589134</v>
      </c>
      <c r="J123" s="366">
        <f t="shared" si="26"/>
        <v>6776.4768414589134</v>
      </c>
      <c r="K123" s="366">
        <f t="shared" si="26"/>
        <v>6776.4768414589134</v>
      </c>
      <c r="L123" s="366">
        <f t="shared" si="26"/>
        <v>6776.4768414589134</v>
      </c>
      <c r="M123" s="366">
        <f t="shared" si="26"/>
        <v>6776.4768414589134</v>
      </c>
      <c r="N123" s="366">
        <f t="shared" si="26"/>
        <v>6776.4768414589134</v>
      </c>
      <c r="O123" s="366">
        <f t="shared" si="26"/>
        <v>6776.4768414589134</v>
      </c>
      <c r="P123" s="636" t="s">
        <v>366</v>
      </c>
      <c r="Q123" s="637"/>
    </row>
    <row r="124" spans="1:17" ht="34.5" customHeight="1">
      <c r="A124" s="42"/>
      <c r="B124" s="43"/>
      <c r="C124" s="44" t="s">
        <v>159</v>
      </c>
      <c r="D124" s="367">
        <v>4611.1111111111113</v>
      </c>
      <c r="E124" s="37">
        <v>4611.1111111111113</v>
      </c>
      <c r="F124" s="37">
        <v>4611.1111111111113</v>
      </c>
      <c r="G124" s="37">
        <v>4611.1111111111113</v>
      </c>
      <c r="H124" s="37">
        <v>4611.1111111111113</v>
      </c>
      <c r="I124" s="37">
        <v>4611.1111111111113</v>
      </c>
      <c r="J124" s="37">
        <v>4611.1111111111113</v>
      </c>
      <c r="K124" s="37">
        <v>4611.1111111111113</v>
      </c>
      <c r="L124" s="37">
        <v>4611.1111111111113</v>
      </c>
      <c r="M124" s="37">
        <v>4611.1111111111113</v>
      </c>
      <c r="N124" s="37">
        <v>4611.1111111111113</v>
      </c>
      <c r="O124" s="37">
        <v>4611.1111111111113</v>
      </c>
      <c r="P124" s="636" t="s">
        <v>160</v>
      </c>
      <c r="Q124" s="637"/>
    </row>
    <row r="125" spans="1:17" ht="36" customHeight="1">
      <c r="A125" s="39"/>
      <c r="B125" s="36"/>
      <c r="C125" s="45" t="s">
        <v>161</v>
      </c>
      <c r="D125" s="366">
        <f>5000000/360</f>
        <v>13888.888888888889</v>
      </c>
      <c r="E125" s="35">
        <f t="shared" ref="E125:O125" si="27">5000000/360</f>
        <v>13888.888888888889</v>
      </c>
      <c r="F125" s="35">
        <f t="shared" si="27"/>
        <v>13888.888888888889</v>
      </c>
      <c r="G125" s="35">
        <f t="shared" si="27"/>
        <v>13888.888888888889</v>
      </c>
      <c r="H125" s="35">
        <f t="shared" si="27"/>
        <v>13888.888888888889</v>
      </c>
      <c r="I125" s="35">
        <f t="shared" si="27"/>
        <v>13888.888888888889</v>
      </c>
      <c r="J125" s="35">
        <f t="shared" si="27"/>
        <v>13888.888888888889</v>
      </c>
      <c r="K125" s="35">
        <f t="shared" si="27"/>
        <v>13888.888888888889</v>
      </c>
      <c r="L125" s="35">
        <f t="shared" si="27"/>
        <v>13888.888888888889</v>
      </c>
      <c r="M125" s="35">
        <f t="shared" si="27"/>
        <v>13888.888888888889</v>
      </c>
      <c r="N125" s="35">
        <f t="shared" si="27"/>
        <v>13888.888888888889</v>
      </c>
      <c r="O125" s="35">
        <f t="shared" si="27"/>
        <v>13888.888888888889</v>
      </c>
      <c r="P125" s="636" t="s">
        <v>162</v>
      </c>
      <c r="Q125" s="637"/>
    </row>
    <row r="126" spans="1:17">
      <c r="A126" s="39"/>
      <c r="B126" s="40" t="s">
        <v>54</v>
      </c>
      <c r="C126" s="41"/>
      <c r="D126" s="36"/>
      <c r="E126" s="36"/>
      <c r="F126" s="36"/>
      <c r="G126" s="36"/>
      <c r="H126" s="36"/>
      <c r="I126" s="36"/>
      <c r="J126" s="36"/>
      <c r="K126" s="36"/>
      <c r="L126" s="36"/>
      <c r="M126" s="2"/>
      <c r="N126" s="2"/>
      <c r="O126" s="2"/>
      <c r="P126" s="716"/>
      <c r="Q126" s="717"/>
    </row>
    <row r="127" spans="1:17" ht="38.25" customHeight="1">
      <c r="A127" s="46"/>
      <c r="B127" s="36"/>
      <c r="C127" s="45" t="s">
        <v>155</v>
      </c>
      <c r="D127" s="366">
        <f>'02-HH-2014'!$C$10</f>
        <v>265686.27339793002</v>
      </c>
      <c r="E127" s="366">
        <f>'02-HH-2014'!$C$10</f>
        <v>265686.27339793002</v>
      </c>
      <c r="F127" s="366">
        <f>'02-HH-2014'!$C$10</f>
        <v>265686.27339793002</v>
      </c>
      <c r="G127" s="366">
        <f>'02-HH-2014'!$C$10</f>
        <v>265686.27339793002</v>
      </c>
      <c r="H127" s="366">
        <f>'02-HH-2014'!$C$10</f>
        <v>265686.27339793002</v>
      </c>
      <c r="I127" s="366">
        <f>'02-HH-2014'!$C$10</f>
        <v>265686.27339793002</v>
      </c>
      <c r="J127" s="366">
        <f>'02-HH-2014'!$C$10</f>
        <v>265686.27339793002</v>
      </c>
      <c r="K127" s="366">
        <f>'02-HH-2014'!$C$10</f>
        <v>265686.27339793002</v>
      </c>
      <c r="L127" s="366">
        <f>'02-HH-2014'!$C$10</f>
        <v>265686.27339793002</v>
      </c>
      <c r="M127" s="366">
        <f>'02-HH-2014'!$C$10</f>
        <v>265686.27339793002</v>
      </c>
      <c r="N127" s="366">
        <f>'02-HH-2014'!$C$10</f>
        <v>265686.27339793002</v>
      </c>
      <c r="O127" s="366">
        <f>'02-HH-2014'!$C$10</f>
        <v>265686.27339793002</v>
      </c>
      <c r="P127" s="636" t="s">
        <v>166</v>
      </c>
      <c r="Q127" s="637"/>
    </row>
    <row r="128" spans="1:17" ht="6.75" customHeight="1">
      <c r="A128" s="33"/>
      <c r="B128" s="2"/>
      <c r="C128" s="9"/>
      <c r="D128" s="2"/>
      <c r="E128" s="2"/>
      <c r="F128" s="2"/>
      <c r="G128" s="2"/>
      <c r="H128" s="2"/>
      <c r="I128" s="2"/>
      <c r="J128" s="2"/>
      <c r="K128" s="2"/>
      <c r="L128" s="2"/>
      <c r="M128" s="34"/>
      <c r="N128" s="2"/>
      <c r="O128" s="2"/>
      <c r="P128" s="2"/>
      <c r="Q128" s="34"/>
    </row>
    <row r="129" spans="1:17" ht="32.25" customHeight="1" thickBot="1">
      <c r="A129" s="654" t="s">
        <v>167</v>
      </c>
      <c r="B129" s="655"/>
      <c r="C129" s="655"/>
      <c r="D129" s="233">
        <f>SUM(D127:D128)</f>
        <v>265686.27339793002</v>
      </c>
      <c r="E129" s="233">
        <f t="shared" ref="E129:O129" si="28">SUM(E127:E128)</f>
        <v>265686.27339793002</v>
      </c>
      <c r="F129" s="233">
        <f t="shared" si="28"/>
        <v>265686.27339793002</v>
      </c>
      <c r="G129" s="233">
        <f t="shared" si="28"/>
        <v>265686.27339793002</v>
      </c>
      <c r="H129" s="233">
        <f t="shared" si="28"/>
        <v>265686.27339793002</v>
      </c>
      <c r="I129" s="233">
        <f t="shared" si="28"/>
        <v>265686.27339793002</v>
      </c>
      <c r="J129" s="233">
        <f t="shared" si="28"/>
        <v>265686.27339793002</v>
      </c>
      <c r="K129" s="233">
        <f t="shared" si="28"/>
        <v>265686.27339793002</v>
      </c>
      <c r="L129" s="233">
        <f t="shared" si="28"/>
        <v>265686.27339793002</v>
      </c>
      <c r="M129" s="233">
        <f t="shared" si="28"/>
        <v>265686.27339793002</v>
      </c>
      <c r="N129" s="233">
        <f t="shared" si="28"/>
        <v>265686.27339793002</v>
      </c>
      <c r="O129" s="233">
        <f t="shared" si="28"/>
        <v>265686.27339793002</v>
      </c>
      <c r="P129" s="638"/>
      <c r="Q129" s="639"/>
    </row>
    <row r="131" spans="1:17" ht="15.75" thickBot="1"/>
    <row r="132" spans="1:17" ht="15" customHeight="1">
      <c r="A132" s="663" t="s">
        <v>37</v>
      </c>
      <c r="B132" s="664"/>
      <c r="C132" s="664"/>
      <c r="D132" s="664"/>
      <c r="E132" s="664"/>
      <c r="F132" s="664"/>
      <c r="G132" s="664"/>
      <c r="H132" s="664"/>
      <c r="I132" s="664"/>
      <c r="J132" s="664"/>
      <c r="K132" s="664"/>
      <c r="L132" s="664"/>
      <c r="M132" s="664"/>
      <c r="N132" s="664"/>
      <c r="O132" s="664"/>
      <c r="P132" s="664"/>
      <c r="Q132" s="665"/>
    </row>
    <row r="133" spans="1:17" ht="15" customHeight="1">
      <c r="A133" s="666"/>
      <c r="B133" s="667"/>
      <c r="C133" s="667"/>
      <c r="D133" s="667"/>
      <c r="E133" s="667"/>
      <c r="F133" s="667"/>
      <c r="G133" s="667"/>
      <c r="H133" s="667"/>
      <c r="I133" s="667"/>
      <c r="J133" s="667"/>
      <c r="K133" s="667"/>
      <c r="L133" s="667"/>
      <c r="M133" s="667"/>
      <c r="N133" s="667"/>
      <c r="O133" s="667"/>
      <c r="P133" s="667"/>
      <c r="Q133" s="668"/>
    </row>
    <row r="134" spans="1:17" ht="20.25" customHeight="1" thickBot="1">
      <c r="A134" s="652" t="s">
        <v>31</v>
      </c>
      <c r="B134" s="653"/>
      <c r="C134" s="653"/>
      <c r="D134" s="371" t="s">
        <v>0</v>
      </c>
      <c r="E134" s="51" t="s">
        <v>1</v>
      </c>
      <c r="F134" s="51" t="s">
        <v>2</v>
      </c>
      <c r="G134" s="51" t="s">
        <v>3</v>
      </c>
      <c r="H134" s="51" t="s">
        <v>4</v>
      </c>
      <c r="I134" s="51" t="s">
        <v>5</v>
      </c>
      <c r="J134" s="51" t="s">
        <v>6</v>
      </c>
      <c r="K134" s="51" t="s">
        <v>7</v>
      </c>
      <c r="L134" s="51" t="s">
        <v>8</v>
      </c>
      <c r="M134" s="51" t="s">
        <v>168</v>
      </c>
      <c r="N134" s="51" t="s">
        <v>169</v>
      </c>
      <c r="O134" s="63" t="s">
        <v>170</v>
      </c>
      <c r="P134" s="746" t="s">
        <v>94</v>
      </c>
      <c r="Q134" s="747"/>
    </row>
    <row r="135" spans="1:17" ht="15.75" customHeight="1">
      <c r="A135" s="47"/>
      <c r="B135" s="48" t="s">
        <v>57</v>
      </c>
      <c r="C135" s="365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744"/>
      <c r="Q135" s="745"/>
    </row>
    <row r="136" spans="1:17" ht="15.75" customHeight="1">
      <c r="A136" s="39"/>
      <c r="B136" s="36"/>
      <c r="C136" s="41" t="s">
        <v>157</v>
      </c>
      <c r="D136" s="366">
        <f>D121</f>
        <v>11111.111111111111</v>
      </c>
      <c r="E136" s="366">
        <f t="shared" ref="E136:O136" si="29">E121</f>
        <v>11111.111111111111</v>
      </c>
      <c r="F136" s="366">
        <f t="shared" si="29"/>
        <v>11111.111111111111</v>
      </c>
      <c r="G136" s="366">
        <f t="shared" si="29"/>
        <v>11111.111111111111</v>
      </c>
      <c r="H136" s="366">
        <f t="shared" si="29"/>
        <v>11111.111111111111</v>
      </c>
      <c r="I136" s="366">
        <f t="shared" si="29"/>
        <v>11111.111111111111</v>
      </c>
      <c r="J136" s="366">
        <f t="shared" si="29"/>
        <v>11111.111111111111</v>
      </c>
      <c r="K136" s="366">
        <f t="shared" si="29"/>
        <v>11111.111111111111</v>
      </c>
      <c r="L136" s="366">
        <f t="shared" si="29"/>
        <v>11111.111111111111</v>
      </c>
      <c r="M136" s="366">
        <f t="shared" si="29"/>
        <v>11111.111111111111</v>
      </c>
      <c r="N136" s="366">
        <f t="shared" si="29"/>
        <v>11111.111111111111</v>
      </c>
      <c r="O136" s="366">
        <f t="shared" si="29"/>
        <v>11111.111111111111</v>
      </c>
      <c r="P136" s="640" t="s">
        <v>367</v>
      </c>
      <c r="Q136" s="641"/>
    </row>
    <row r="137" spans="1:17" ht="15.75" customHeight="1">
      <c r="A137" s="39"/>
      <c r="B137" s="40" t="s">
        <v>100</v>
      </c>
      <c r="C137" s="41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716"/>
      <c r="Q137" s="717"/>
    </row>
    <row r="138" spans="1:17" ht="28.5" customHeight="1">
      <c r="A138" s="39"/>
      <c r="B138" s="36"/>
      <c r="C138" s="41" t="s">
        <v>158</v>
      </c>
      <c r="D138" s="366">
        <f>D123</f>
        <v>6776.4768414589134</v>
      </c>
      <c r="E138" s="366">
        <f t="shared" ref="E138:O138" si="30">E123</f>
        <v>6776.4768414589134</v>
      </c>
      <c r="F138" s="366">
        <f t="shared" si="30"/>
        <v>6776.4768414589134</v>
      </c>
      <c r="G138" s="366">
        <f t="shared" si="30"/>
        <v>6776.4768414589134</v>
      </c>
      <c r="H138" s="366">
        <f t="shared" si="30"/>
        <v>6776.4768414589134</v>
      </c>
      <c r="I138" s="366">
        <f t="shared" si="30"/>
        <v>6776.4768414589134</v>
      </c>
      <c r="J138" s="366">
        <f t="shared" si="30"/>
        <v>6776.4768414589134</v>
      </c>
      <c r="K138" s="366">
        <f t="shared" si="30"/>
        <v>6776.4768414589134</v>
      </c>
      <c r="L138" s="366">
        <f t="shared" si="30"/>
        <v>6776.4768414589134</v>
      </c>
      <c r="M138" s="366">
        <f t="shared" si="30"/>
        <v>6776.4768414589134</v>
      </c>
      <c r="N138" s="366">
        <f t="shared" si="30"/>
        <v>6776.4768414589134</v>
      </c>
      <c r="O138" s="366">
        <f t="shared" si="30"/>
        <v>6776.4768414589134</v>
      </c>
      <c r="P138" s="636" t="s">
        <v>366</v>
      </c>
      <c r="Q138" s="637"/>
    </row>
    <row r="139" spans="1:17" ht="27.75" customHeight="1">
      <c r="A139" s="42"/>
      <c r="B139" s="43"/>
      <c r="C139" s="44" t="s">
        <v>159</v>
      </c>
      <c r="D139" s="367">
        <v>4611.1111111111113</v>
      </c>
      <c r="E139" s="37">
        <v>4611.1111111111113</v>
      </c>
      <c r="F139" s="37">
        <v>4611.1111111111113</v>
      </c>
      <c r="G139" s="37">
        <v>4611.1111111111113</v>
      </c>
      <c r="H139" s="37">
        <v>4611.1111111111113</v>
      </c>
      <c r="I139" s="37">
        <v>4611.1111111111113</v>
      </c>
      <c r="J139" s="37">
        <v>4611.1111111111113</v>
      </c>
      <c r="K139" s="37">
        <v>4611.1111111111113</v>
      </c>
      <c r="L139" s="37">
        <v>4611.1111111111113</v>
      </c>
      <c r="M139" s="37">
        <v>4611.1111111111113</v>
      </c>
      <c r="N139" s="37">
        <v>4611.1111111111113</v>
      </c>
      <c r="O139" s="37">
        <v>4611.1111111111113</v>
      </c>
      <c r="P139" s="636" t="s">
        <v>160</v>
      </c>
      <c r="Q139" s="637"/>
    </row>
    <row r="140" spans="1:17" ht="25.5" customHeight="1">
      <c r="A140" s="39"/>
      <c r="B140" s="36"/>
      <c r="C140" s="45" t="s">
        <v>161</v>
      </c>
      <c r="D140" s="366">
        <f>8000000/360</f>
        <v>22222.222222222223</v>
      </c>
      <c r="E140" s="35">
        <f t="shared" ref="E140:O140" si="31">8000000/360</f>
        <v>22222.222222222223</v>
      </c>
      <c r="F140" s="35">
        <f t="shared" si="31"/>
        <v>22222.222222222223</v>
      </c>
      <c r="G140" s="35">
        <f t="shared" si="31"/>
        <v>22222.222222222223</v>
      </c>
      <c r="H140" s="35">
        <f t="shared" si="31"/>
        <v>22222.222222222223</v>
      </c>
      <c r="I140" s="35">
        <f t="shared" si="31"/>
        <v>22222.222222222223</v>
      </c>
      <c r="J140" s="35">
        <f t="shared" si="31"/>
        <v>22222.222222222223</v>
      </c>
      <c r="K140" s="35">
        <f t="shared" si="31"/>
        <v>22222.222222222223</v>
      </c>
      <c r="L140" s="35">
        <f t="shared" si="31"/>
        <v>22222.222222222223</v>
      </c>
      <c r="M140" s="35">
        <f t="shared" si="31"/>
        <v>22222.222222222223</v>
      </c>
      <c r="N140" s="35">
        <f t="shared" si="31"/>
        <v>22222.222222222223</v>
      </c>
      <c r="O140" s="35">
        <f t="shared" si="31"/>
        <v>22222.222222222223</v>
      </c>
      <c r="P140" s="636" t="s">
        <v>368</v>
      </c>
      <c r="Q140" s="637"/>
    </row>
    <row r="141" spans="1:17" ht="15.75" customHeight="1">
      <c r="A141" s="39"/>
      <c r="B141" s="40" t="s">
        <v>54</v>
      </c>
      <c r="C141" s="41"/>
      <c r="D141" s="36"/>
      <c r="E141" s="36"/>
      <c r="F141" s="36"/>
      <c r="G141" s="36"/>
      <c r="H141" s="36"/>
      <c r="I141" s="36"/>
      <c r="J141" s="36"/>
      <c r="K141" s="36"/>
      <c r="L141" s="36"/>
      <c r="M141" s="2"/>
      <c r="N141" s="2"/>
      <c r="O141" s="2"/>
      <c r="P141" s="716"/>
      <c r="Q141" s="717"/>
    </row>
    <row r="142" spans="1:17" ht="27.75" customHeight="1">
      <c r="A142" s="46"/>
      <c r="B142" s="36"/>
      <c r="C142" s="41" t="s">
        <v>156</v>
      </c>
      <c r="D142" s="366">
        <f>'02-HH-2014'!$C$42*3</f>
        <v>429882.25859236007</v>
      </c>
      <c r="E142" s="366">
        <f>'02-HH-2014'!$C$42*3</f>
        <v>429882.25859236007</v>
      </c>
      <c r="F142" s="366">
        <f>'02-HH-2014'!$C$42*3</f>
        <v>429882.25859236007</v>
      </c>
      <c r="G142" s="366">
        <f>'02-HH-2014'!$C$42*3</f>
        <v>429882.25859236007</v>
      </c>
      <c r="H142" s="366">
        <f>'02-HH-2014'!$C$42*3</f>
        <v>429882.25859236007</v>
      </c>
      <c r="I142" s="366">
        <f>'02-HH-2014'!$C$42*3</f>
        <v>429882.25859236007</v>
      </c>
      <c r="J142" s="366">
        <f>'02-HH-2014'!$C$42*3</f>
        <v>429882.25859236007</v>
      </c>
      <c r="K142" s="366">
        <f>'02-HH-2014'!$C$42*3</f>
        <v>429882.25859236007</v>
      </c>
      <c r="L142" s="366">
        <f>'02-HH-2014'!$C$42*3</f>
        <v>429882.25859236007</v>
      </c>
      <c r="M142" s="366">
        <f>'02-HH-2014'!$C$42*3</f>
        <v>429882.25859236007</v>
      </c>
      <c r="N142" s="366">
        <f>'02-HH-2014'!$C$42*3</f>
        <v>429882.25859236007</v>
      </c>
      <c r="O142" s="366">
        <f>'02-HH-2014'!$C$42*3</f>
        <v>429882.25859236007</v>
      </c>
      <c r="P142" s="636" t="s">
        <v>369</v>
      </c>
      <c r="Q142" s="637"/>
    </row>
    <row r="143" spans="1:17" ht="6" customHeight="1">
      <c r="A143" s="33"/>
      <c r="B143" s="2"/>
      <c r="C143" s="9"/>
      <c r="D143" s="2"/>
      <c r="E143" s="2"/>
      <c r="F143" s="2"/>
      <c r="G143" s="2"/>
      <c r="H143" s="2"/>
      <c r="I143" s="2"/>
      <c r="J143" s="2"/>
      <c r="K143" s="2"/>
      <c r="L143" s="2"/>
      <c r="M143" s="34"/>
      <c r="N143" s="2"/>
      <c r="O143" s="2"/>
      <c r="P143" s="2"/>
      <c r="Q143" s="34"/>
    </row>
    <row r="144" spans="1:17" ht="34.5" customHeight="1" thickBot="1">
      <c r="A144" s="654" t="s">
        <v>171</v>
      </c>
      <c r="B144" s="655"/>
      <c r="C144" s="655"/>
      <c r="D144" s="233">
        <f t="shared" ref="D144:O144" si="32">SUM(D136:D142)</f>
        <v>474603.17987826344</v>
      </c>
      <c r="E144" s="38">
        <f t="shared" si="32"/>
        <v>474603.17987826344</v>
      </c>
      <c r="F144" s="38">
        <f t="shared" si="32"/>
        <v>474603.17987826344</v>
      </c>
      <c r="G144" s="38">
        <f t="shared" si="32"/>
        <v>474603.17987826344</v>
      </c>
      <c r="H144" s="38">
        <f t="shared" si="32"/>
        <v>474603.17987826344</v>
      </c>
      <c r="I144" s="38">
        <f t="shared" si="32"/>
        <v>474603.17987826344</v>
      </c>
      <c r="J144" s="38">
        <f t="shared" si="32"/>
        <v>474603.17987826344</v>
      </c>
      <c r="K144" s="38">
        <f t="shared" si="32"/>
        <v>474603.17987826344</v>
      </c>
      <c r="L144" s="38">
        <f t="shared" si="32"/>
        <v>474603.17987826344</v>
      </c>
      <c r="M144" s="38">
        <f t="shared" si="32"/>
        <v>474603.17987826344</v>
      </c>
      <c r="N144" s="38">
        <f t="shared" si="32"/>
        <v>474603.17987826344</v>
      </c>
      <c r="O144" s="38">
        <f t="shared" si="32"/>
        <v>474603.17987826344</v>
      </c>
      <c r="P144" s="638"/>
      <c r="Q144" s="639"/>
    </row>
    <row r="146" spans="1:17" ht="15.75" thickBot="1"/>
    <row r="147" spans="1:17" ht="15" customHeight="1">
      <c r="A147" s="663" t="s">
        <v>64</v>
      </c>
      <c r="B147" s="664"/>
      <c r="C147" s="664"/>
      <c r="D147" s="664"/>
      <c r="E147" s="664"/>
      <c r="F147" s="664"/>
      <c r="G147" s="664"/>
      <c r="H147" s="664"/>
      <c r="I147" s="664"/>
      <c r="J147" s="664"/>
      <c r="K147" s="664"/>
      <c r="L147" s="664"/>
      <c r="M147" s="664"/>
      <c r="N147" s="664"/>
      <c r="O147" s="664"/>
      <c r="P147" s="664"/>
      <c r="Q147" s="665"/>
    </row>
    <row r="148" spans="1:17" ht="15" customHeight="1">
      <c r="A148" s="666"/>
      <c r="B148" s="667"/>
      <c r="C148" s="667"/>
      <c r="D148" s="667"/>
      <c r="E148" s="667"/>
      <c r="F148" s="667"/>
      <c r="G148" s="667"/>
      <c r="H148" s="667"/>
      <c r="I148" s="667"/>
      <c r="J148" s="667"/>
      <c r="K148" s="667"/>
      <c r="L148" s="667"/>
      <c r="M148" s="667"/>
      <c r="N148" s="667"/>
      <c r="O148" s="667"/>
      <c r="P148" s="667"/>
      <c r="Q148" s="668"/>
    </row>
    <row r="149" spans="1:17" ht="15.75" thickBot="1">
      <c r="A149" s="652" t="s">
        <v>31</v>
      </c>
      <c r="B149" s="653"/>
      <c r="C149" s="653"/>
      <c r="D149" s="51" t="s">
        <v>0</v>
      </c>
      <c r="E149" s="51" t="s">
        <v>1</v>
      </c>
      <c r="F149" s="51" t="s">
        <v>2</v>
      </c>
      <c r="G149" s="51" t="s">
        <v>3</v>
      </c>
      <c r="H149" s="51" t="s">
        <v>4</v>
      </c>
      <c r="I149" s="51" t="s">
        <v>5</v>
      </c>
      <c r="J149" s="51" t="s">
        <v>6</v>
      </c>
      <c r="K149" s="51" t="s">
        <v>7</v>
      </c>
      <c r="L149" s="51" t="s">
        <v>8</v>
      </c>
      <c r="M149" s="51" t="s">
        <v>168</v>
      </c>
      <c r="N149" s="51" t="s">
        <v>169</v>
      </c>
      <c r="O149" s="63" t="s">
        <v>170</v>
      </c>
      <c r="P149" s="653" t="s">
        <v>94</v>
      </c>
      <c r="Q149" s="815"/>
    </row>
    <row r="150" spans="1:17">
      <c r="A150" s="368"/>
      <c r="B150" s="369" t="s">
        <v>57</v>
      </c>
      <c r="C150" s="370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695"/>
      <c r="Q150" s="696"/>
    </row>
    <row r="151" spans="1:17" ht="15.75">
      <c r="A151" s="39"/>
      <c r="B151" s="36"/>
      <c r="C151" s="41" t="s">
        <v>157</v>
      </c>
      <c r="D151" s="366">
        <f>D136</f>
        <v>11111.111111111111</v>
      </c>
      <c r="E151" s="366">
        <f t="shared" ref="E151:O151" si="33">E136</f>
        <v>11111.111111111111</v>
      </c>
      <c r="F151" s="366">
        <f t="shared" si="33"/>
        <v>11111.111111111111</v>
      </c>
      <c r="G151" s="366">
        <f t="shared" si="33"/>
        <v>11111.111111111111</v>
      </c>
      <c r="H151" s="366">
        <f t="shared" si="33"/>
        <v>11111.111111111111</v>
      </c>
      <c r="I151" s="366">
        <f t="shared" si="33"/>
        <v>11111.111111111111</v>
      </c>
      <c r="J151" s="366">
        <f t="shared" si="33"/>
        <v>11111.111111111111</v>
      </c>
      <c r="K151" s="366">
        <f t="shared" si="33"/>
        <v>11111.111111111111</v>
      </c>
      <c r="L151" s="366">
        <f t="shared" si="33"/>
        <v>11111.111111111111</v>
      </c>
      <c r="M151" s="366">
        <f t="shared" si="33"/>
        <v>11111.111111111111</v>
      </c>
      <c r="N151" s="366">
        <f t="shared" si="33"/>
        <v>11111.111111111111</v>
      </c>
      <c r="O151" s="366">
        <f t="shared" si="33"/>
        <v>11111.111111111111</v>
      </c>
      <c r="P151" s="640" t="s">
        <v>367</v>
      </c>
      <c r="Q151" s="641"/>
    </row>
    <row r="152" spans="1:17">
      <c r="A152" s="39"/>
      <c r="B152" s="40" t="s">
        <v>100</v>
      </c>
      <c r="C152" s="41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636"/>
      <c r="Q152" s="637"/>
    </row>
    <row r="153" spans="1:17" ht="30" customHeight="1">
      <c r="A153" s="39"/>
      <c r="B153" s="36"/>
      <c r="C153" s="41" t="s">
        <v>158</v>
      </c>
      <c r="D153" s="366">
        <f>D138</f>
        <v>6776.4768414589134</v>
      </c>
      <c r="E153" s="366">
        <f t="shared" ref="E153:O153" si="34">E138</f>
        <v>6776.4768414589134</v>
      </c>
      <c r="F153" s="366">
        <f t="shared" si="34"/>
        <v>6776.4768414589134</v>
      </c>
      <c r="G153" s="366">
        <f t="shared" si="34"/>
        <v>6776.4768414589134</v>
      </c>
      <c r="H153" s="366">
        <f t="shared" si="34"/>
        <v>6776.4768414589134</v>
      </c>
      <c r="I153" s="366">
        <f t="shared" si="34"/>
        <v>6776.4768414589134</v>
      </c>
      <c r="J153" s="366">
        <f t="shared" si="34"/>
        <v>6776.4768414589134</v>
      </c>
      <c r="K153" s="366">
        <f t="shared" si="34"/>
        <v>6776.4768414589134</v>
      </c>
      <c r="L153" s="366">
        <f t="shared" si="34"/>
        <v>6776.4768414589134</v>
      </c>
      <c r="M153" s="366">
        <f t="shared" si="34"/>
        <v>6776.4768414589134</v>
      </c>
      <c r="N153" s="366">
        <f t="shared" si="34"/>
        <v>6776.4768414589134</v>
      </c>
      <c r="O153" s="366">
        <f t="shared" si="34"/>
        <v>6776.4768414589134</v>
      </c>
      <c r="P153" s="636" t="s">
        <v>366</v>
      </c>
      <c r="Q153" s="637"/>
    </row>
    <row r="154" spans="1:17" ht="33.75" customHeight="1">
      <c r="A154" s="42"/>
      <c r="B154" s="43"/>
      <c r="C154" s="44" t="s">
        <v>159</v>
      </c>
      <c r="D154" s="367">
        <v>4611.1111111111113</v>
      </c>
      <c r="E154" s="37">
        <v>4611.1111111111113</v>
      </c>
      <c r="F154" s="37">
        <v>4611.1111111111113</v>
      </c>
      <c r="G154" s="37">
        <v>4611.1111111111113</v>
      </c>
      <c r="H154" s="37">
        <v>4611.1111111111113</v>
      </c>
      <c r="I154" s="37">
        <v>4611.1111111111113</v>
      </c>
      <c r="J154" s="37">
        <v>4611.1111111111113</v>
      </c>
      <c r="K154" s="37">
        <v>4611.1111111111113</v>
      </c>
      <c r="L154" s="37">
        <v>4611.1111111111113</v>
      </c>
      <c r="M154" s="37">
        <v>4611.1111111111113</v>
      </c>
      <c r="N154" s="37">
        <v>4611.1111111111113</v>
      </c>
      <c r="O154" s="65">
        <v>4611.1111111111113</v>
      </c>
      <c r="P154" s="636" t="s">
        <v>160</v>
      </c>
      <c r="Q154" s="637"/>
    </row>
    <row r="155" spans="1:17" ht="28.5" customHeight="1">
      <c r="A155" s="39"/>
      <c r="B155" s="36"/>
      <c r="C155" s="45" t="s">
        <v>161</v>
      </c>
      <c r="D155" s="366">
        <f>8000000/360</f>
        <v>22222.222222222223</v>
      </c>
      <c r="E155" s="35">
        <f t="shared" ref="E155:O155" si="35">8000000/360</f>
        <v>22222.222222222223</v>
      </c>
      <c r="F155" s="35">
        <f t="shared" si="35"/>
        <v>22222.222222222223</v>
      </c>
      <c r="G155" s="35">
        <f t="shared" si="35"/>
        <v>22222.222222222223</v>
      </c>
      <c r="H155" s="35">
        <f t="shared" si="35"/>
        <v>22222.222222222223</v>
      </c>
      <c r="I155" s="35">
        <f t="shared" si="35"/>
        <v>22222.222222222223</v>
      </c>
      <c r="J155" s="35">
        <f t="shared" si="35"/>
        <v>22222.222222222223</v>
      </c>
      <c r="K155" s="35">
        <f t="shared" si="35"/>
        <v>22222.222222222223</v>
      </c>
      <c r="L155" s="35">
        <f t="shared" si="35"/>
        <v>22222.222222222223</v>
      </c>
      <c r="M155" s="35">
        <f t="shared" si="35"/>
        <v>22222.222222222223</v>
      </c>
      <c r="N155" s="35">
        <f t="shared" si="35"/>
        <v>22222.222222222223</v>
      </c>
      <c r="O155" s="64">
        <f t="shared" si="35"/>
        <v>22222.222222222223</v>
      </c>
      <c r="P155" s="636" t="s">
        <v>162</v>
      </c>
      <c r="Q155" s="637"/>
    </row>
    <row r="156" spans="1:17" ht="20.25" customHeight="1">
      <c r="A156" s="42"/>
      <c r="B156" s="40" t="s">
        <v>54</v>
      </c>
      <c r="C156" s="41"/>
      <c r="D156" s="36"/>
      <c r="E156" s="36"/>
      <c r="F156" s="36"/>
      <c r="G156" s="36"/>
      <c r="H156" s="36"/>
      <c r="I156" s="36"/>
      <c r="J156" s="36"/>
      <c r="K156" s="36"/>
      <c r="L156" s="36"/>
      <c r="M156" s="2"/>
      <c r="N156" s="2"/>
      <c r="O156" s="2"/>
      <c r="P156" s="636"/>
      <c r="Q156" s="637"/>
    </row>
    <row r="157" spans="1:17" ht="26.25" customHeight="1">
      <c r="A157" s="46"/>
      <c r="B157" s="36"/>
      <c r="C157" s="45" t="s">
        <v>155</v>
      </c>
      <c r="D157" s="366">
        <f>'02-HH-2014'!$C$10*1</f>
        <v>265686.27339793002</v>
      </c>
      <c r="E157" s="366">
        <f>'02-HH-2014'!$C$10*1</f>
        <v>265686.27339793002</v>
      </c>
      <c r="F157" s="366">
        <f>'02-HH-2014'!$C$10*1</f>
        <v>265686.27339793002</v>
      </c>
      <c r="G157" s="366">
        <f>'02-HH-2014'!$C$10*1</f>
        <v>265686.27339793002</v>
      </c>
      <c r="H157" s="366">
        <f>'02-HH-2014'!$C$10*1</f>
        <v>265686.27339793002</v>
      </c>
      <c r="I157" s="366">
        <f>'02-HH-2014'!$C$10*1</f>
        <v>265686.27339793002</v>
      </c>
      <c r="J157" s="366">
        <f>'02-HH-2014'!$C$10*1</f>
        <v>265686.27339793002</v>
      </c>
      <c r="K157" s="366">
        <f>'02-HH-2014'!$C$10*1</f>
        <v>265686.27339793002</v>
      </c>
      <c r="L157" s="366">
        <f>'02-HH-2014'!$C$10*1</f>
        <v>265686.27339793002</v>
      </c>
      <c r="M157" s="366">
        <f>'02-HH-2014'!$C$10*1</f>
        <v>265686.27339793002</v>
      </c>
      <c r="N157" s="366">
        <f>'02-HH-2014'!$C$10*1</f>
        <v>265686.27339793002</v>
      </c>
      <c r="O157" s="366">
        <f>'02-HH-2014'!$C$10*1</f>
        <v>265686.27339793002</v>
      </c>
      <c r="P157" s="636" t="s">
        <v>402</v>
      </c>
      <c r="Q157" s="637"/>
    </row>
    <row r="158" spans="1:17" ht="18" customHeight="1">
      <c r="A158" s="46"/>
      <c r="B158" s="36"/>
      <c r="C158" s="41" t="s">
        <v>172</v>
      </c>
      <c r="D158" s="366">
        <f>'02-HH-2014'!$C$42*3</f>
        <v>429882.25859236007</v>
      </c>
      <c r="E158" s="366">
        <f>'02-HH-2014'!$C$42*3</f>
        <v>429882.25859236007</v>
      </c>
      <c r="F158" s="366">
        <f>'02-HH-2014'!$C$42*3</f>
        <v>429882.25859236007</v>
      </c>
      <c r="G158" s="366">
        <f>'02-HH-2014'!$C$42*3</f>
        <v>429882.25859236007</v>
      </c>
      <c r="H158" s="366">
        <f>'02-HH-2014'!$C$42*3</f>
        <v>429882.25859236007</v>
      </c>
      <c r="I158" s="366">
        <f>'02-HH-2014'!$C$42*3</f>
        <v>429882.25859236007</v>
      </c>
      <c r="J158" s="366">
        <f>'02-HH-2014'!$C$42*3</f>
        <v>429882.25859236007</v>
      </c>
      <c r="K158" s="366">
        <f>'02-HH-2014'!$C$42*3</f>
        <v>429882.25859236007</v>
      </c>
      <c r="L158" s="366">
        <f>'02-HH-2014'!$C$42*3</f>
        <v>429882.25859236007</v>
      </c>
      <c r="M158" s="366">
        <f>'02-HH-2014'!$C$42*3</f>
        <v>429882.25859236007</v>
      </c>
      <c r="N158" s="366">
        <f>'02-HH-2014'!$C$42*3</f>
        <v>429882.25859236007</v>
      </c>
      <c r="O158" s="366">
        <f>'02-HH-2014'!$C$42*3</f>
        <v>429882.25859236007</v>
      </c>
      <c r="P158" s="636" t="s">
        <v>401</v>
      </c>
      <c r="Q158" s="637"/>
    </row>
    <row r="159" spans="1:17" ht="4.5" customHeight="1">
      <c r="A159" s="33"/>
      <c r="B159" s="2"/>
      <c r="C159" s="9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34"/>
    </row>
    <row r="160" spans="1:17" ht="30" customHeight="1" thickBot="1">
      <c r="A160" s="654" t="s">
        <v>173</v>
      </c>
      <c r="B160" s="655"/>
      <c r="C160" s="655"/>
      <c r="D160" s="233">
        <f>SUM(D151:D158)</f>
        <v>740289.45327619347</v>
      </c>
      <c r="E160" s="38">
        <f t="shared" ref="E160:O160" si="36">SUM(E151:E158)</f>
        <v>740289.45327619347</v>
      </c>
      <c r="F160" s="38">
        <f t="shared" si="36"/>
        <v>740289.45327619347</v>
      </c>
      <c r="G160" s="38">
        <f t="shared" si="36"/>
        <v>740289.45327619347</v>
      </c>
      <c r="H160" s="38">
        <f t="shared" si="36"/>
        <v>740289.45327619347</v>
      </c>
      <c r="I160" s="38">
        <f t="shared" si="36"/>
        <v>740289.45327619347</v>
      </c>
      <c r="J160" s="38">
        <f t="shared" si="36"/>
        <v>740289.45327619347</v>
      </c>
      <c r="K160" s="38">
        <f t="shared" si="36"/>
        <v>740289.45327619347</v>
      </c>
      <c r="L160" s="38">
        <f t="shared" si="36"/>
        <v>740289.45327619347</v>
      </c>
      <c r="M160" s="38">
        <f t="shared" si="36"/>
        <v>740289.45327619347</v>
      </c>
      <c r="N160" s="38">
        <f t="shared" si="36"/>
        <v>740289.45327619347</v>
      </c>
      <c r="O160" s="38">
        <f t="shared" si="36"/>
        <v>740289.45327619347</v>
      </c>
      <c r="P160" s="638"/>
      <c r="Q160" s="639"/>
    </row>
    <row r="162" spans="1:17" ht="15.75" thickBot="1"/>
    <row r="163" spans="1:17" ht="15" customHeight="1">
      <c r="A163" s="646" t="s">
        <v>38</v>
      </c>
      <c r="B163" s="647"/>
      <c r="C163" s="647"/>
      <c r="D163" s="647"/>
      <c r="E163" s="647"/>
      <c r="F163" s="647"/>
      <c r="G163" s="647"/>
      <c r="H163" s="647"/>
      <c r="I163" s="647"/>
      <c r="J163" s="647"/>
      <c r="K163" s="647"/>
      <c r="L163" s="647"/>
      <c r="M163" s="647"/>
      <c r="N163" s="647"/>
      <c r="O163" s="647"/>
      <c r="P163" s="647"/>
      <c r="Q163" s="648"/>
    </row>
    <row r="164" spans="1:17" ht="15" customHeight="1">
      <c r="A164" s="649"/>
      <c r="B164" s="650"/>
      <c r="C164" s="650"/>
      <c r="D164" s="650"/>
      <c r="E164" s="650"/>
      <c r="F164" s="650"/>
      <c r="G164" s="650"/>
      <c r="H164" s="650"/>
      <c r="I164" s="650"/>
      <c r="J164" s="650"/>
      <c r="K164" s="650"/>
      <c r="L164" s="650"/>
      <c r="M164" s="650"/>
      <c r="N164" s="650"/>
      <c r="O164" s="650"/>
      <c r="P164" s="650"/>
      <c r="Q164" s="651"/>
    </row>
    <row r="165" spans="1:17" ht="15.75" thickBot="1">
      <c r="A165" s="652" t="s">
        <v>31</v>
      </c>
      <c r="B165" s="653"/>
      <c r="C165" s="653"/>
      <c r="D165" s="51" t="s">
        <v>0</v>
      </c>
      <c r="E165" s="51" t="s">
        <v>1</v>
      </c>
      <c r="F165" s="51" t="s">
        <v>2</v>
      </c>
      <c r="G165" s="51" t="s">
        <v>3</v>
      </c>
      <c r="H165" s="51" t="s">
        <v>4</v>
      </c>
      <c r="I165" s="51" t="s">
        <v>5</v>
      </c>
      <c r="J165" s="51" t="s">
        <v>6</v>
      </c>
      <c r="K165" s="51" t="s">
        <v>7</v>
      </c>
      <c r="L165" s="51" t="s">
        <v>8</v>
      </c>
      <c r="M165" s="51" t="s">
        <v>168</v>
      </c>
      <c r="N165" s="51" t="s">
        <v>169</v>
      </c>
      <c r="O165" s="140" t="s">
        <v>170</v>
      </c>
      <c r="P165" s="644" t="s">
        <v>94</v>
      </c>
      <c r="Q165" s="645"/>
    </row>
    <row r="166" spans="1:17">
      <c r="A166" s="47"/>
      <c r="B166" s="48" t="s">
        <v>57</v>
      </c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642"/>
      <c r="Q166" s="643"/>
    </row>
    <row r="167" spans="1:17" ht="15.75" customHeight="1">
      <c r="A167" s="39"/>
      <c r="B167" s="36"/>
      <c r="C167" s="41" t="s">
        <v>157</v>
      </c>
      <c r="D167" s="35">
        <f>D151</f>
        <v>11111.111111111111</v>
      </c>
      <c r="E167" s="35">
        <f t="shared" ref="E167:O167" si="37">E151</f>
        <v>11111.111111111111</v>
      </c>
      <c r="F167" s="35">
        <f t="shared" si="37"/>
        <v>11111.111111111111</v>
      </c>
      <c r="G167" s="35">
        <f t="shared" si="37"/>
        <v>11111.111111111111</v>
      </c>
      <c r="H167" s="35">
        <f t="shared" si="37"/>
        <v>11111.111111111111</v>
      </c>
      <c r="I167" s="35">
        <f t="shared" si="37"/>
        <v>11111.111111111111</v>
      </c>
      <c r="J167" s="35">
        <f t="shared" si="37"/>
        <v>11111.111111111111</v>
      </c>
      <c r="K167" s="35">
        <f t="shared" si="37"/>
        <v>11111.111111111111</v>
      </c>
      <c r="L167" s="35">
        <f t="shared" si="37"/>
        <v>11111.111111111111</v>
      </c>
      <c r="M167" s="35">
        <f t="shared" si="37"/>
        <v>11111.111111111111</v>
      </c>
      <c r="N167" s="35">
        <f t="shared" si="37"/>
        <v>11111.111111111111</v>
      </c>
      <c r="O167" s="35">
        <f t="shared" si="37"/>
        <v>11111.111111111111</v>
      </c>
      <c r="P167" s="640" t="s">
        <v>367</v>
      </c>
      <c r="Q167" s="641"/>
    </row>
    <row r="168" spans="1:17">
      <c r="A168" s="39"/>
      <c r="B168" s="40" t="s">
        <v>100</v>
      </c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636"/>
      <c r="Q168" s="637"/>
    </row>
    <row r="169" spans="1:17" ht="24.75" customHeight="1">
      <c r="A169" s="39"/>
      <c r="B169" s="36"/>
      <c r="C169" s="41" t="s">
        <v>158</v>
      </c>
      <c r="D169" s="35">
        <f>D153</f>
        <v>6776.4768414589134</v>
      </c>
      <c r="E169" s="35">
        <f t="shared" ref="E169:O169" si="38">E153</f>
        <v>6776.4768414589134</v>
      </c>
      <c r="F169" s="35">
        <f t="shared" si="38"/>
        <v>6776.4768414589134</v>
      </c>
      <c r="G169" s="35">
        <f t="shared" si="38"/>
        <v>6776.4768414589134</v>
      </c>
      <c r="H169" s="35">
        <f t="shared" si="38"/>
        <v>6776.4768414589134</v>
      </c>
      <c r="I169" s="35">
        <f t="shared" si="38"/>
        <v>6776.4768414589134</v>
      </c>
      <c r="J169" s="35">
        <f t="shared" si="38"/>
        <v>6776.4768414589134</v>
      </c>
      <c r="K169" s="35">
        <f t="shared" si="38"/>
        <v>6776.4768414589134</v>
      </c>
      <c r="L169" s="35">
        <f t="shared" si="38"/>
        <v>6776.4768414589134</v>
      </c>
      <c r="M169" s="35">
        <f t="shared" si="38"/>
        <v>6776.4768414589134</v>
      </c>
      <c r="N169" s="35">
        <f t="shared" si="38"/>
        <v>6776.4768414589134</v>
      </c>
      <c r="O169" s="35">
        <f t="shared" si="38"/>
        <v>6776.4768414589134</v>
      </c>
      <c r="P169" s="636" t="s">
        <v>366</v>
      </c>
      <c r="Q169" s="637"/>
    </row>
    <row r="170" spans="1:17" ht="30.75" customHeight="1">
      <c r="A170" s="42"/>
      <c r="B170" s="43"/>
      <c r="C170" s="44" t="s">
        <v>159</v>
      </c>
      <c r="D170" s="37">
        <v>4611.1111111111113</v>
      </c>
      <c r="E170" s="37">
        <v>4611.1111111111113</v>
      </c>
      <c r="F170" s="37">
        <v>4611.1111111111113</v>
      </c>
      <c r="G170" s="37">
        <v>4611.1111111111113</v>
      </c>
      <c r="H170" s="37">
        <v>4611.1111111111113</v>
      </c>
      <c r="I170" s="37">
        <v>4611.1111111111113</v>
      </c>
      <c r="J170" s="37">
        <v>4611.1111111111113</v>
      </c>
      <c r="K170" s="37">
        <v>4611.1111111111113</v>
      </c>
      <c r="L170" s="37">
        <v>4611.1111111111113</v>
      </c>
      <c r="M170" s="37">
        <v>4611.1111111111113</v>
      </c>
      <c r="N170" s="37">
        <v>4611.1111111111113</v>
      </c>
      <c r="O170" s="65">
        <v>4611.1111111111113</v>
      </c>
      <c r="P170" s="636" t="s">
        <v>160</v>
      </c>
      <c r="Q170" s="637"/>
    </row>
    <row r="171" spans="1:17" ht="28.5" customHeight="1">
      <c r="A171" s="39"/>
      <c r="B171" s="36"/>
      <c r="C171" s="45" t="s">
        <v>161</v>
      </c>
      <c r="D171" s="35">
        <f>8000000/360</f>
        <v>22222.222222222223</v>
      </c>
      <c r="E171" s="35">
        <f t="shared" ref="E171:O171" si="39">8000000/360</f>
        <v>22222.222222222223</v>
      </c>
      <c r="F171" s="35">
        <f t="shared" si="39"/>
        <v>22222.222222222223</v>
      </c>
      <c r="G171" s="35">
        <f t="shared" si="39"/>
        <v>22222.222222222223</v>
      </c>
      <c r="H171" s="35">
        <f t="shared" si="39"/>
        <v>22222.222222222223</v>
      </c>
      <c r="I171" s="35">
        <f t="shared" si="39"/>
        <v>22222.222222222223</v>
      </c>
      <c r="J171" s="35">
        <f t="shared" si="39"/>
        <v>22222.222222222223</v>
      </c>
      <c r="K171" s="35">
        <f t="shared" si="39"/>
        <v>22222.222222222223</v>
      </c>
      <c r="L171" s="35">
        <f t="shared" si="39"/>
        <v>22222.222222222223</v>
      </c>
      <c r="M171" s="35">
        <f t="shared" si="39"/>
        <v>22222.222222222223</v>
      </c>
      <c r="N171" s="35">
        <f t="shared" si="39"/>
        <v>22222.222222222223</v>
      </c>
      <c r="O171" s="64">
        <f t="shared" si="39"/>
        <v>22222.222222222223</v>
      </c>
      <c r="P171" s="636" t="s">
        <v>162</v>
      </c>
      <c r="Q171" s="637"/>
    </row>
    <row r="172" spans="1:17">
      <c r="A172" s="39"/>
      <c r="B172" s="40" t="s">
        <v>54</v>
      </c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2"/>
      <c r="N172" s="2"/>
      <c r="O172" s="2"/>
      <c r="P172" s="811"/>
      <c r="Q172" s="812"/>
    </row>
    <row r="173" spans="1:17" ht="24.75" customHeight="1">
      <c r="A173" s="46"/>
      <c r="B173" s="36"/>
      <c r="C173" s="45" t="s">
        <v>155</v>
      </c>
      <c r="D173" s="35">
        <f>D157</f>
        <v>265686.27339793002</v>
      </c>
      <c r="E173" s="35">
        <f t="shared" ref="E173:O173" si="40">E157</f>
        <v>265686.27339793002</v>
      </c>
      <c r="F173" s="35">
        <f t="shared" si="40"/>
        <v>265686.27339793002</v>
      </c>
      <c r="G173" s="35">
        <f t="shared" si="40"/>
        <v>265686.27339793002</v>
      </c>
      <c r="H173" s="35">
        <f t="shared" si="40"/>
        <v>265686.27339793002</v>
      </c>
      <c r="I173" s="35">
        <f t="shared" si="40"/>
        <v>265686.27339793002</v>
      </c>
      <c r="J173" s="35">
        <f t="shared" si="40"/>
        <v>265686.27339793002</v>
      </c>
      <c r="K173" s="35">
        <f t="shared" si="40"/>
        <v>265686.27339793002</v>
      </c>
      <c r="L173" s="35">
        <f t="shared" si="40"/>
        <v>265686.27339793002</v>
      </c>
      <c r="M173" s="35">
        <f t="shared" si="40"/>
        <v>265686.27339793002</v>
      </c>
      <c r="N173" s="35">
        <f t="shared" si="40"/>
        <v>265686.27339793002</v>
      </c>
      <c r="O173" s="35">
        <f t="shared" si="40"/>
        <v>265686.27339793002</v>
      </c>
      <c r="P173" s="636" t="s">
        <v>402</v>
      </c>
      <c r="Q173" s="637"/>
    </row>
    <row r="174" spans="1:17" ht="27.75" customHeight="1">
      <c r="A174" s="46"/>
      <c r="B174" s="36"/>
      <c r="C174" s="41" t="s">
        <v>172</v>
      </c>
      <c r="D174" s="35">
        <f>'02-HH-2014'!$C$42*2</f>
        <v>286588.17239490669</v>
      </c>
      <c r="E174" s="35">
        <f>'02-HH-2014'!$C$42*2</f>
        <v>286588.17239490669</v>
      </c>
      <c r="F174" s="35">
        <f>'02-HH-2014'!$C$42*2</f>
        <v>286588.17239490669</v>
      </c>
      <c r="G174" s="35">
        <f>'02-HH-2014'!$C$42*2</f>
        <v>286588.17239490669</v>
      </c>
      <c r="H174" s="35">
        <f>'02-HH-2014'!$C$42*2</f>
        <v>286588.17239490669</v>
      </c>
      <c r="I174" s="35">
        <f>'02-HH-2014'!$C$42*2</f>
        <v>286588.17239490669</v>
      </c>
      <c r="J174" s="35">
        <f>'02-HH-2014'!$C$42*2</f>
        <v>286588.17239490669</v>
      </c>
      <c r="K174" s="35">
        <f>'02-HH-2014'!$C$42*2</f>
        <v>286588.17239490669</v>
      </c>
      <c r="L174" s="35">
        <f>'02-HH-2014'!$C$42*2</f>
        <v>286588.17239490669</v>
      </c>
      <c r="M174" s="35">
        <f>'02-HH-2014'!$C$42*2</f>
        <v>286588.17239490669</v>
      </c>
      <c r="N174" s="35">
        <f>'02-HH-2014'!$C$42*2</f>
        <v>286588.17239490669</v>
      </c>
      <c r="O174" s="35">
        <f>'02-HH-2014'!$C$42*2</f>
        <v>286588.17239490669</v>
      </c>
      <c r="P174" s="636" t="s">
        <v>401</v>
      </c>
      <c r="Q174" s="637"/>
    </row>
    <row r="175" spans="1:17" ht="7.5" customHeight="1">
      <c r="A175" s="3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34"/>
    </row>
    <row r="176" spans="1:17" ht="28.5" customHeight="1" thickBot="1">
      <c r="A176" s="654" t="s">
        <v>174</v>
      </c>
      <c r="B176" s="655"/>
      <c r="C176" s="655"/>
      <c r="D176" s="38">
        <f>SUM(D167:D174)</f>
        <v>596995.36707874015</v>
      </c>
      <c r="E176" s="38">
        <f t="shared" ref="E176:O176" si="41">SUM(E167:E174)</f>
        <v>596995.36707874015</v>
      </c>
      <c r="F176" s="38">
        <f t="shared" si="41"/>
        <v>596995.36707874015</v>
      </c>
      <c r="G176" s="38">
        <f t="shared" si="41"/>
        <v>596995.36707874015</v>
      </c>
      <c r="H176" s="38">
        <f t="shared" si="41"/>
        <v>596995.36707874015</v>
      </c>
      <c r="I176" s="38">
        <f t="shared" si="41"/>
        <v>596995.36707874015</v>
      </c>
      <c r="J176" s="38">
        <f t="shared" si="41"/>
        <v>596995.36707874015</v>
      </c>
      <c r="K176" s="38">
        <f t="shared" si="41"/>
        <v>596995.36707874015</v>
      </c>
      <c r="L176" s="38">
        <f t="shared" si="41"/>
        <v>596995.36707874015</v>
      </c>
      <c r="M176" s="38">
        <f t="shared" si="41"/>
        <v>596995.36707874015</v>
      </c>
      <c r="N176" s="38">
        <f t="shared" si="41"/>
        <v>596995.36707874015</v>
      </c>
      <c r="O176" s="38">
        <f t="shared" si="41"/>
        <v>596995.36707874015</v>
      </c>
      <c r="P176" s="638"/>
      <c r="Q176" s="639"/>
    </row>
    <row r="178" spans="1:17" ht="15.75" thickBot="1"/>
    <row r="179" spans="1:17" ht="15" customHeight="1">
      <c r="A179" s="646" t="s">
        <v>40</v>
      </c>
      <c r="B179" s="647"/>
      <c r="C179" s="647"/>
      <c r="D179" s="647"/>
      <c r="E179" s="647"/>
      <c r="F179" s="647"/>
      <c r="G179" s="647"/>
      <c r="H179" s="647"/>
      <c r="I179" s="647"/>
      <c r="J179" s="647"/>
      <c r="K179" s="647"/>
      <c r="L179" s="647"/>
      <c r="M179" s="647"/>
      <c r="N179" s="647"/>
      <c r="O179" s="647"/>
      <c r="P179" s="647"/>
      <c r="Q179" s="648"/>
    </row>
    <row r="180" spans="1:17" ht="15" customHeight="1">
      <c r="A180" s="649"/>
      <c r="B180" s="650"/>
      <c r="C180" s="650"/>
      <c r="D180" s="650"/>
      <c r="E180" s="650"/>
      <c r="F180" s="650"/>
      <c r="G180" s="650"/>
      <c r="H180" s="650"/>
      <c r="I180" s="650"/>
      <c r="J180" s="650"/>
      <c r="K180" s="650"/>
      <c r="L180" s="650"/>
      <c r="M180" s="650"/>
      <c r="N180" s="650"/>
      <c r="O180" s="650"/>
      <c r="P180" s="650"/>
      <c r="Q180" s="651"/>
    </row>
    <row r="181" spans="1:17" ht="21.75" customHeight="1">
      <c r="A181" s="658" t="s">
        <v>31</v>
      </c>
      <c r="B181" s="659"/>
      <c r="C181" s="659"/>
      <c r="D181" s="139" t="s">
        <v>0</v>
      </c>
      <c r="E181" s="139" t="s">
        <v>1</v>
      </c>
      <c r="F181" s="139" t="s">
        <v>2</v>
      </c>
      <c r="G181" s="139" t="s">
        <v>3</v>
      </c>
      <c r="H181" s="139" t="s">
        <v>4</v>
      </c>
      <c r="I181" s="139" t="s">
        <v>5</v>
      </c>
      <c r="J181" s="139" t="s">
        <v>6</v>
      </c>
      <c r="K181" s="139" t="s">
        <v>7</v>
      </c>
      <c r="L181" s="139" t="s">
        <v>8</v>
      </c>
      <c r="M181" s="139" t="s">
        <v>168</v>
      </c>
      <c r="N181" s="139" t="s">
        <v>169</v>
      </c>
      <c r="O181" s="139" t="s">
        <v>170</v>
      </c>
      <c r="P181" s="669" t="s">
        <v>94</v>
      </c>
      <c r="Q181" s="670"/>
    </row>
    <row r="182" spans="1:17" ht="30.75" customHeight="1">
      <c r="A182" s="67"/>
      <c r="B182" s="835" t="s">
        <v>41</v>
      </c>
      <c r="C182" s="782"/>
      <c r="D182" s="68">
        <f t="shared" ref="D182:O182" si="42">D350</f>
        <v>10776.485647706815</v>
      </c>
      <c r="E182" s="68">
        <f t="shared" si="42"/>
        <v>17771.441228654301</v>
      </c>
      <c r="F182" s="68">
        <f t="shared" si="42"/>
        <v>21263.534141852488</v>
      </c>
      <c r="G182" s="68">
        <f t="shared" si="42"/>
        <v>46495.722835789886</v>
      </c>
      <c r="H182" s="68">
        <f t="shared" si="42"/>
        <v>374270.51016025711</v>
      </c>
      <c r="I182" s="68">
        <f t="shared" si="42"/>
        <v>374270.51016025711</v>
      </c>
      <c r="J182" s="68">
        <f t="shared" si="42"/>
        <v>374270.51016025711</v>
      </c>
      <c r="K182" s="68">
        <f t="shared" si="42"/>
        <v>374270.51016025711</v>
      </c>
      <c r="L182" s="68">
        <f t="shared" si="42"/>
        <v>374270.51016025711</v>
      </c>
      <c r="M182" s="68">
        <f t="shared" si="42"/>
        <v>374270.51016025711</v>
      </c>
      <c r="N182" s="68">
        <f t="shared" si="42"/>
        <v>374270.51016025711</v>
      </c>
      <c r="O182" s="68">
        <f t="shared" si="42"/>
        <v>374270.51016025711</v>
      </c>
      <c r="P182" s="787" t="s">
        <v>195</v>
      </c>
      <c r="Q182" s="783"/>
    </row>
    <row r="183" spans="1:17" ht="32.25" customHeight="1">
      <c r="A183" s="67"/>
      <c r="B183" s="656" t="s">
        <v>42</v>
      </c>
      <c r="C183" s="657"/>
      <c r="D183" s="68">
        <f t="shared" ref="D183:O183" si="43">D353</f>
        <v>390403.60247782344</v>
      </c>
      <c r="E183" s="68">
        <f t="shared" si="43"/>
        <v>390403.60247782344</v>
      </c>
      <c r="F183" s="68">
        <f t="shared" si="43"/>
        <v>390403.60247782344</v>
      </c>
      <c r="G183" s="68">
        <f t="shared" si="43"/>
        <v>390403.60247782344</v>
      </c>
      <c r="H183" s="68">
        <f t="shared" si="43"/>
        <v>390403.60247782344</v>
      </c>
      <c r="I183" s="68">
        <f t="shared" si="43"/>
        <v>390403.60247782344</v>
      </c>
      <c r="J183" s="68">
        <f t="shared" si="43"/>
        <v>390403.60247782344</v>
      </c>
      <c r="K183" s="68">
        <f t="shared" si="43"/>
        <v>390403.60247782344</v>
      </c>
      <c r="L183" s="68">
        <f t="shared" si="43"/>
        <v>390403.60247782344</v>
      </c>
      <c r="M183" s="68">
        <f t="shared" si="43"/>
        <v>390403.60247782344</v>
      </c>
      <c r="N183" s="68">
        <f t="shared" si="43"/>
        <v>390403.60247782344</v>
      </c>
      <c r="O183" s="68">
        <f t="shared" si="43"/>
        <v>390403.60247782344</v>
      </c>
      <c r="P183" s="787" t="s">
        <v>195</v>
      </c>
      <c r="Q183" s="783"/>
    </row>
    <row r="184" spans="1:17" ht="6.75" customHeight="1">
      <c r="A184" s="3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34"/>
    </row>
    <row r="185" spans="1:17" ht="34.5" customHeight="1" thickBot="1">
      <c r="A185" s="654" t="s">
        <v>177</v>
      </c>
      <c r="B185" s="655"/>
      <c r="C185" s="655"/>
      <c r="D185" s="38">
        <f>SUM(D182:D183)</f>
        <v>401180.08812553028</v>
      </c>
      <c r="E185" s="38">
        <f t="shared" ref="E185:O185" si="44">SUM(E182:E183)</f>
        <v>408175.04370647774</v>
      </c>
      <c r="F185" s="38">
        <f t="shared" si="44"/>
        <v>411667.1366196759</v>
      </c>
      <c r="G185" s="38">
        <f t="shared" si="44"/>
        <v>436899.32531361334</v>
      </c>
      <c r="H185" s="38">
        <f t="shared" si="44"/>
        <v>764674.11263808049</v>
      </c>
      <c r="I185" s="38">
        <f t="shared" si="44"/>
        <v>764674.11263808049</v>
      </c>
      <c r="J185" s="38">
        <f t="shared" si="44"/>
        <v>764674.11263808049</v>
      </c>
      <c r="K185" s="38">
        <f t="shared" si="44"/>
        <v>764674.11263808049</v>
      </c>
      <c r="L185" s="38">
        <f t="shared" si="44"/>
        <v>764674.11263808049</v>
      </c>
      <c r="M185" s="38">
        <f t="shared" si="44"/>
        <v>764674.11263808049</v>
      </c>
      <c r="N185" s="38">
        <f t="shared" si="44"/>
        <v>764674.11263808049</v>
      </c>
      <c r="O185" s="38">
        <f t="shared" si="44"/>
        <v>764674.11263808049</v>
      </c>
      <c r="P185" s="638"/>
      <c r="Q185" s="639"/>
    </row>
    <row r="187" spans="1:17" ht="15.75" thickBot="1"/>
    <row r="188" spans="1:17" ht="15" customHeight="1">
      <c r="A188" s="663" t="s">
        <v>57</v>
      </c>
      <c r="B188" s="664"/>
      <c r="C188" s="664"/>
      <c r="D188" s="664"/>
      <c r="E188" s="664"/>
      <c r="F188" s="664"/>
      <c r="G188" s="664"/>
      <c r="H188" s="664"/>
      <c r="I188" s="664"/>
      <c r="J188" s="664"/>
      <c r="K188" s="664"/>
      <c r="L188" s="664"/>
      <c r="M188" s="664"/>
      <c r="N188" s="664"/>
      <c r="O188" s="664"/>
      <c r="P188" s="664"/>
      <c r="Q188" s="665"/>
    </row>
    <row r="189" spans="1:17" ht="15" customHeight="1">
      <c r="A189" s="666"/>
      <c r="B189" s="667"/>
      <c r="C189" s="667"/>
      <c r="D189" s="667"/>
      <c r="E189" s="667"/>
      <c r="F189" s="667"/>
      <c r="G189" s="667"/>
      <c r="H189" s="667"/>
      <c r="I189" s="667"/>
      <c r="J189" s="667"/>
      <c r="K189" s="667"/>
      <c r="L189" s="667"/>
      <c r="M189" s="667"/>
      <c r="N189" s="667"/>
      <c r="O189" s="667"/>
      <c r="P189" s="667"/>
      <c r="Q189" s="668"/>
    </row>
    <row r="190" spans="1:17">
      <c r="A190" s="658" t="s">
        <v>31</v>
      </c>
      <c r="B190" s="659"/>
      <c r="C190" s="659"/>
      <c r="D190" s="139" t="s">
        <v>0</v>
      </c>
      <c r="E190" s="139" t="s">
        <v>1</v>
      </c>
      <c r="F190" s="139" t="s">
        <v>2</v>
      </c>
      <c r="G190" s="139" t="s">
        <v>3</v>
      </c>
      <c r="H190" s="139" t="s">
        <v>4</v>
      </c>
      <c r="I190" s="139" t="s">
        <v>5</v>
      </c>
      <c r="J190" s="139" t="s">
        <v>6</v>
      </c>
      <c r="K190" s="139" t="s">
        <v>7</v>
      </c>
      <c r="L190" s="139" t="s">
        <v>8</v>
      </c>
      <c r="M190" s="139" t="s">
        <v>168</v>
      </c>
      <c r="N190" s="139" t="s">
        <v>169</v>
      </c>
      <c r="O190" s="139" t="s">
        <v>170</v>
      </c>
      <c r="P190" s="669" t="s">
        <v>94</v>
      </c>
      <c r="Q190" s="670"/>
    </row>
    <row r="191" spans="1:17">
      <c r="A191" s="816" t="s">
        <v>178</v>
      </c>
      <c r="B191" s="817"/>
      <c r="C191" s="818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821"/>
      <c r="Q191" s="822"/>
    </row>
    <row r="192" spans="1:17" ht="30" customHeight="1">
      <c r="A192" s="46"/>
      <c r="B192" s="36"/>
      <c r="C192" s="45" t="s">
        <v>58</v>
      </c>
      <c r="D192" s="68">
        <f>30963.0443344481*1.16</f>
        <v>35917.131427959794</v>
      </c>
      <c r="E192" s="68">
        <f>41732.7988855604*1.16</f>
        <v>48410.046707250061</v>
      </c>
      <c r="F192" s="68">
        <f>48256*1.16</f>
        <v>55976.959999999999</v>
      </c>
      <c r="G192" s="68">
        <f>93500*1.16</f>
        <v>108459.99999999999</v>
      </c>
      <c r="H192" s="68">
        <f>110000*1.16</f>
        <v>127599.99999999999</v>
      </c>
      <c r="I192" s="68">
        <f>115266*1.16</f>
        <v>133708.56</v>
      </c>
      <c r="J192" s="68">
        <f>127395*1.16</f>
        <v>147778.19999999998</v>
      </c>
      <c r="K192" s="68">
        <f>152876*1.16</f>
        <v>177336.15999999997</v>
      </c>
      <c r="L192" s="68">
        <f>(K192+17128)*1.16</f>
        <v>225578.42559999996</v>
      </c>
      <c r="M192" s="68"/>
      <c r="N192" s="68"/>
      <c r="O192" s="76"/>
      <c r="P192" s="825" t="s">
        <v>372</v>
      </c>
      <c r="Q192" s="826"/>
    </row>
    <row r="193" spans="1:22">
      <c r="A193" s="46"/>
      <c r="B193" s="36"/>
      <c r="C193" s="41" t="s">
        <v>182</v>
      </c>
      <c r="D193" s="35">
        <f>[2]Hoja1!D9*1.16</f>
        <v>45472</v>
      </c>
      <c r="E193" s="35">
        <f>[2]Hoja1!E9*1.16</f>
        <v>65888</v>
      </c>
      <c r="F193" s="35">
        <f>[2]Hoja1!F9*1.16</f>
        <v>78880</v>
      </c>
      <c r="G193" s="35">
        <f>129000*1.16</f>
        <v>149640</v>
      </c>
      <c r="H193" s="35">
        <f>[2]Hoja1!H9*1.16</f>
        <v>157760</v>
      </c>
      <c r="I193" s="35">
        <f>[2]Hoja1!I9*1.16</f>
        <v>262160</v>
      </c>
      <c r="J193" s="35">
        <f>[2]Hoja1!J9*1.16</f>
        <v>382800</v>
      </c>
      <c r="K193" s="35">
        <f>[2]Hoja1!K9*1.16</f>
        <v>821280</v>
      </c>
      <c r="L193" s="35">
        <f>[2]Hoja1!L9*1.16</f>
        <v>1059080</v>
      </c>
      <c r="M193" s="35"/>
      <c r="N193" s="35"/>
      <c r="O193" s="35"/>
      <c r="P193" s="823" t="s">
        <v>373</v>
      </c>
      <c r="Q193" s="824"/>
    </row>
    <row r="194" spans="1:22">
      <c r="A194" s="46"/>
      <c r="B194" s="36"/>
      <c r="C194" s="41" t="s">
        <v>183</v>
      </c>
      <c r="D194" s="35">
        <f>[2]Hoja1!D12*1.16</f>
        <v>5800</v>
      </c>
      <c r="E194" s="35">
        <f>[2]Hoja1!E12*1.16</f>
        <v>8468</v>
      </c>
      <c r="F194" s="35">
        <f>[2]Hoja1!F12*1.16</f>
        <v>9048</v>
      </c>
      <c r="G194" s="35">
        <f>[2]Hoja1!G12*1.16</f>
        <v>12296</v>
      </c>
      <c r="H194" s="35">
        <f>[2]Hoja1!H12*1.16</f>
        <v>18908</v>
      </c>
      <c r="I194" s="35">
        <f>[2]Hoja1!I12*1.16</f>
        <v>25056</v>
      </c>
      <c r="J194" s="35">
        <f>[2]Hoja1!J12*1.16</f>
        <v>37120</v>
      </c>
      <c r="K194" s="35">
        <f>[2]Hoja1!K12*1.16</f>
        <v>47560</v>
      </c>
      <c r="L194" s="35">
        <f>[2]Hoja1!L12*1.16</f>
        <v>69692.799999999988</v>
      </c>
      <c r="M194" s="35"/>
      <c r="N194" s="35"/>
      <c r="O194" s="70"/>
      <c r="P194" s="823" t="s">
        <v>373</v>
      </c>
      <c r="Q194" s="824"/>
    </row>
    <row r="195" spans="1:22">
      <c r="A195" s="46"/>
      <c r="B195" s="36"/>
      <c r="C195" s="41" t="s">
        <v>184</v>
      </c>
      <c r="D195" s="71">
        <f>2960000*1.2</f>
        <v>3552000</v>
      </c>
      <c r="E195" s="71">
        <f>4285000*1.2</f>
        <v>5142000</v>
      </c>
      <c r="F195" s="71">
        <f>4796338*1.15</f>
        <v>5515788.6999999993</v>
      </c>
      <c r="G195" s="71">
        <v>7036386</v>
      </c>
      <c r="H195" s="71">
        <f>9381000</f>
        <v>9381000</v>
      </c>
      <c r="I195" s="71">
        <f>13590000</f>
        <v>13590000</v>
      </c>
      <c r="J195" s="71">
        <f>17386000</f>
        <v>17386000</v>
      </c>
      <c r="K195" s="71">
        <f>21759860</f>
        <v>21759860</v>
      </c>
      <c r="L195" s="71">
        <f>26040000</f>
        <v>26040000</v>
      </c>
      <c r="M195" s="71"/>
      <c r="N195" s="71"/>
      <c r="O195" s="35"/>
      <c r="P195" s="622" t="s">
        <v>211</v>
      </c>
      <c r="Q195" s="623"/>
    </row>
    <row r="196" spans="1:22" ht="18.75" customHeight="1">
      <c r="A196" s="819" t="s">
        <v>216</v>
      </c>
      <c r="B196" s="820"/>
      <c r="C196" s="820"/>
      <c r="D196" s="332">
        <f>SUM(D192:D195)</f>
        <v>3639189.13142796</v>
      </c>
      <c r="E196" s="332">
        <f>SUM(E192:E195)</f>
        <v>5264766.0467072502</v>
      </c>
      <c r="F196" s="332">
        <f>SUM(F192:F195)</f>
        <v>5659693.6599999992</v>
      </c>
      <c r="G196" s="332">
        <f>SUM(G192:G195)*1.16</f>
        <v>8475867.1199999992</v>
      </c>
      <c r="H196" s="332">
        <f t="shared" ref="H196:O196" si="45">SUM(H192:H195)</f>
        <v>9685268</v>
      </c>
      <c r="I196" s="332">
        <f t="shared" si="45"/>
        <v>14010924.560000001</v>
      </c>
      <c r="J196" s="332">
        <f t="shared" si="45"/>
        <v>17953698.199999999</v>
      </c>
      <c r="K196" s="332">
        <f t="shared" si="45"/>
        <v>22806036.16</v>
      </c>
      <c r="L196" s="332">
        <f t="shared" si="45"/>
        <v>27394351.2256</v>
      </c>
      <c r="M196" s="332">
        <f t="shared" si="45"/>
        <v>0</v>
      </c>
      <c r="N196" s="332">
        <f t="shared" si="45"/>
        <v>0</v>
      </c>
      <c r="O196" s="332">
        <f t="shared" si="45"/>
        <v>0</v>
      </c>
      <c r="P196" s="827"/>
      <c r="Q196" s="702"/>
    </row>
    <row r="197" spans="1:22" s="5" customFormat="1" ht="18.75" customHeight="1" thickBot="1">
      <c r="A197" s="109"/>
      <c r="B197" s="109"/>
      <c r="C197" s="109"/>
      <c r="D197" s="110"/>
      <c r="E197" s="110"/>
      <c r="F197" s="110"/>
      <c r="G197" s="110"/>
      <c r="H197" s="110"/>
      <c r="I197" s="110"/>
      <c r="J197" s="110"/>
      <c r="K197" s="110"/>
      <c r="L197" s="110"/>
      <c r="M197" s="110"/>
      <c r="N197" s="110"/>
      <c r="O197" s="110"/>
      <c r="P197" s="111"/>
      <c r="Q197" s="111"/>
    </row>
    <row r="198" spans="1:22" s="28" customFormat="1" ht="15" customHeight="1">
      <c r="A198" s="663" t="s">
        <v>433</v>
      </c>
      <c r="B198" s="664"/>
      <c r="C198" s="664"/>
      <c r="D198" s="664"/>
      <c r="E198" s="664"/>
      <c r="F198" s="664"/>
      <c r="G198" s="664"/>
      <c r="H198" s="664"/>
      <c r="I198" s="664"/>
      <c r="J198" s="664"/>
      <c r="K198" s="664"/>
      <c r="L198" s="664"/>
      <c r="M198" s="664"/>
      <c r="N198" s="664"/>
      <c r="O198" s="664"/>
      <c r="P198" s="664"/>
      <c r="Q198" s="665"/>
    </row>
    <row r="199" spans="1:22" s="28" customFormat="1" ht="15" customHeight="1">
      <c r="A199" s="666"/>
      <c r="B199" s="667"/>
      <c r="C199" s="667"/>
      <c r="D199" s="667"/>
      <c r="E199" s="667"/>
      <c r="F199" s="667"/>
      <c r="G199" s="667"/>
      <c r="H199" s="667"/>
      <c r="I199" s="667"/>
      <c r="J199" s="667"/>
      <c r="K199" s="667"/>
      <c r="L199" s="667"/>
      <c r="M199" s="667"/>
      <c r="N199" s="667"/>
      <c r="O199" s="667"/>
      <c r="P199" s="667"/>
      <c r="Q199" s="668"/>
    </row>
    <row r="200" spans="1:22" s="28" customFormat="1">
      <c r="A200" s="658" t="s">
        <v>31</v>
      </c>
      <c r="B200" s="659"/>
      <c r="C200" s="659"/>
      <c r="D200" s="507" t="s">
        <v>0</v>
      </c>
      <c r="E200" s="507" t="s">
        <v>1</v>
      </c>
      <c r="F200" s="507" t="s">
        <v>2</v>
      </c>
      <c r="G200" s="507" t="s">
        <v>3</v>
      </c>
      <c r="H200" s="507" t="s">
        <v>4</v>
      </c>
      <c r="I200" s="507" t="s">
        <v>5</v>
      </c>
      <c r="J200" s="507" t="s">
        <v>6</v>
      </c>
      <c r="K200" s="507" t="s">
        <v>7</v>
      </c>
      <c r="L200" s="507" t="s">
        <v>8</v>
      </c>
      <c r="M200" s="507" t="s">
        <v>168</v>
      </c>
      <c r="N200" s="507" t="s">
        <v>169</v>
      </c>
      <c r="O200" s="507" t="s">
        <v>170</v>
      </c>
      <c r="P200" s="669" t="s">
        <v>94</v>
      </c>
      <c r="Q200" s="670"/>
    </row>
    <row r="201" spans="1:22" s="28" customFormat="1">
      <c r="A201" s="46"/>
      <c r="B201" s="36"/>
      <c r="C201" s="41" t="s">
        <v>431</v>
      </c>
      <c r="D201" s="71">
        <v>14656584.363636365</v>
      </c>
      <c r="E201" s="71">
        <v>15209806.181818184</v>
      </c>
      <c r="F201" s="71">
        <v>17385812</v>
      </c>
      <c r="G201" s="71">
        <v>20158068</v>
      </c>
      <c r="H201" s="71">
        <v>23369828</v>
      </c>
      <c r="I201" s="71">
        <v>26195210.857142858</v>
      </c>
      <c r="J201" s="71">
        <v>30469508</v>
      </c>
      <c r="K201" s="71">
        <v>36656372</v>
      </c>
      <c r="L201" s="71">
        <v>42893948</v>
      </c>
      <c r="M201" s="71"/>
      <c r="N201" s="71"/>
      <c r="O201" s="35"/>
      <c r="P201" s="823" t="s">
        <v>211</v>
      </c>
      <c r="Q201" s="824"/>
    </row>
    <row r="202" spans="1:22" s="28" customFormat="1" ht="24.75" customHeight="1">
      <c r="A202" s="46"/>
      <c r="B202" s="36"/>
      <c r="C202" s="41" t="s">
        <v>432</v>
      </c>
      <c r="D202" s="68">
        <f>30963.0443344481*1.16</f>
        <v>35917.131427959794</v>
      </c>
      <c r="E202" s="68">
        <f>41732.7988855604*1.16</f>
        <v>48410.046707250061</v>
      </c>
      <c r="F202" s="68">
        <f>48256*1.16</f>
        <v>55976.959999999999</v>
      </c>
      <c r="G202" s="68">
        <f>93500*1.16</f>
        <v>108459.99999999999</v>
      </c>
      <c r="H202" s="68">
        <f>110000*1.16</f>
        <v>127599.99999999999</v>
      </c>
      <c r="I202" s="68">
        <f>115266*1.16</f>
        <v>133708.56</v>
      </c>
      <c r="J202" s="68">
        <f>127395*1.16</f>
        <v>147778.19999999998</v>
      </c>
      <c r="K202" s="68">
        <f>152876*1.16</f>
        <v>177336.15999999997</v>
      </c>
      <c r="L202" s="68">
        <f>(K202+17128)*1.16</f>
        <v>225578.42559999996</v>
      </c>
      <c r="M202" s="71"/>
      <c r="N202" s="71"/>
      <c r="O202" s="35"/>
      <c r="P202" s="622" t="s">
        <v>211</v>
      </c>
      <c r="Q202" s="623"/>
    </row>
    <row r="203" spans="1:22" s="28" customFormat="1" ht="23.25" customHeight="1">
      <c r="A203" s="46"/>
      <c r="B203" s="36"/>
      <c r="C203" s="41" t="s">
        <v>415</v>
      </c>
      <c r="D203" s="71"/>
      <c r="E203" s="71"/>
      <c r="F203" s="71">
        <v>14714969</v>
      </c>
      <c r="G203" s="71">
        <v>16478335</v>
      </c>
      <c r="H203" s="71">
        <v>21924400</v>
      </c>
      <c r="I203" s="71">
        <v>24877630</v>
      </c>
      <c r="J203" s="71">
        <v>45913614</v>
      </c>
      <c r="K203" s="71">
        <v>66949598</v>
      </c>
      <c r="L203" s="71">
        <v>87985582</v>
      </c>
      <c r="M203" s="71"/>
      <c r="N203" s="71"/>
      <c r="O203" s="35"/>
      <c r="P203" s="622" t="s">
        <v>211</v>
      </c>
      <c r="Q203" s="623"/>
    </row>
    <row r="204" spans="1:22" s="28" customFormat="1" ht="23.25" customHeight="1">
      <c r="A204" s="46"/>
      <c r="B204" s="36"/>
      <c r="C204" s="41" t="s">
        <v>449</v>
      </c>
      <c r="D204" s="71">
        <v>162110</v>
      </c>
      <c r="E204" s="71">
        <v>247520</v>
      </c>
      <c r="F204" s="71">
        <v>324480</v>
      </c>
      <c r="G204" s="71">
        <v>1050240</v>
      </c>
      <c r="H204" s="71">
        <v>802100</v>
      </c>
      <c r="I204" s="71">
        <v>1270400</v>
      </c>
      <c r="J204" s="71">
        <v>1974400</v>
      </c>
      <c r="K204" s="71">
        <v>2953600</v>
      </c>
      <c r="L204" s="71">
        <v>4337000</v>
      </c>
      <c r="M204" s="71"/>
      <c r="N204" s="71"/>
      <c r="O204" s="35"/>
      <c r="P204" s="508"/>
      <c r="Q204" s="509"/>
    </row>
    <row r="205" spans="1:22" s="28" customFormat="1" ht="23.25" customHeight="1">
      <c r="A205" s="46"/>
      <c r="B205" s="36"/>
      <c r="C205" s="41" t="s">
        <v>435</v>
      </c>
      <c r="D205" s="71">
        <v>226200</v>
      </c>
      <c r="E205" s="71">
        <v>339300</v>
      </c>
      <c r="F205" s="71">
        <v>750000</v>
      </c>
      <c r="G205" s="71">
        <v>1010000</v>
      </c>
      <c r="H205" s="71">
        <v>1420000</v>
      </c>
      <c r="I205" s="71">
        <v>1767840</v>
      </c>
      <c r="J205" s="71">
        <v>3121408</v>
      </c>
      <c r="K205" s="71">
        <v>4474976</v>
      </c>
      <c r="L205" s="71">
        <v>6828544</v>
      </c>
      <c r="M205" s="71"/>
      <c r="N205" s="71"/>
      <c r="O205" s="35"/>
      <c r="P205" s="622" t="s">
        <v>211</v>
      </c>
      <c r="Q205" s="623"/>
    </row>
    <row r="206" spans="1:22" s="60" customFormat="1" ht="15.75" customHeight="1">
      <c r="A206" s="109"/>
      <c r="B206" s="109"/>
      <c r="C206" s="109"/>
      <c r="D206" s="110"/>
      <c r="E206" s="110"/>
      <c r="F206" s="110"/>
      <c r="G206" s="110"/>
      <c r="H206" s="110"/>
      <c r="I206" s="110"/>
      <c r="J206" s="110"/>
      <c r="K206" s="110"/>
      <c r="L206" s="110"/>
      <c r="M206" s="110"/>
      <c r="N206" s="110"/>
      <c r="O206" s="110"/>
      <c r="P206" s="111"/>
      <c r="Q206" s="111"/>
    </row>
    <row r="207" spans="1:22" s="28" customFormat="1" ht="19.5" customHeight="1" thickBot="1">
      <c r="A207" s="109"/>
      <c r="B207" s="109"/>
      <c r="C207" s="109"/>
      <c r="D207" s="110"/>
      <c r="E207" s="110"/>
      <c r="F207" s="110"/>
      <c r="G207" s="110"/>
      <c r="H207" s="110"/>
      <c r="I207" s="110"/>
      <c r="J207" s="110"/>
      <c r="K207" s="110"/>
      <c r="L207" s="110"/>
      <c r="M207" s="110"/>
      <c r="N207" s="110"/>
      <c r="O207" s="110"/>
      <c r="P207" s="111"/>
      <c r="Q207" s="111"/>
      <c r="S207" s="108"/>
      <c r="T207" s="108"/>
      <c r="U207" s="419"/>
      <c r="V207" s="420"/>
    </row>
    <row r="208" spans="1:22" ht="19.5" customHeight="1">
      <c r="A208" s="663" t="s">
        <v>270</v>
      </c>
      <c r="B208" s="664"/>
      <c r="C208" s="664"/>
      <c r="D208" s="664"/>
      <c r="E208" s="664"/>
      <c r="F208" s="664"/>
      <c r="G208" s="664"/>
      <c r="H208" s="664"/>
      <c r="I208" s="664"/>
      <c r="J208" s="664"/>
      <c r="K208" s="664"/>
      <c r="L208" s="664"/>
      <c r="M208" s="664"/>
      <c r="N208" s="664"/>
      <c r="O208" s="664"/>
      <c r="P208" s="664"/>
      <c r="Q208" s="665"/>
    </row>
    <row r="209" spans="1:17" ht="15.75" customHeight="1">
      <c r="A209" s="666"/>
      <c r="B209" s="667"/>
      <c r="C209" s="667"/>
      <c r="D209" s="667"/>
      <c r="E209" s="667"/>
      <c r="F209" s="667"/>
      <c r="G209" s="667"/>
      <c r="H209" s="667"/>
      <c r="I209" s="667"/>
      <c r="J209" s="667"/>
      <c r="K209" s="667"/>
      <c r="L209" s="667"/>
      <c r="M209" s="667"/>
      <c r="N209" s="667"/>
      <c r="O209" s="667"/>
      <c r="P209" s="667"/>
      <c r="Q209" s="668"/>
    </row>
    <row r="210" spans="1:17">
      <c r="A210" s="658" t="s">
        <v>31</v>
      </c>
      <c r="B210" s="659"/>
      <c r="C210" s="659"/>
      <c r="D210" s="139" t="s">
        <v>0</v>
      </c>
      <c r="E210" s="139" t="s">
        <v>1</v>
      </c>
      <c r="F210" s="139" t="s">
        <v>2</v>
      </c>
      <c r="G210" s="139" t="s">
        <v>3</v>
      </c>
      <c r="H210" s="139" t="s">
        <v>4</v>
      </c>
      <c r="I210" s="139" t="s">
        <v>5</v>
      </c>
      <c r="J210" s="139" t="s">
        <v>6</v>
      </c>
      <c r="K210" s="139" t="s">
        <v>7</v>
      </c>
      <c r="L210" s="139" t="s">
        <v>8</v>
      </c>
      <c r="M210" s="139" t="s">
        <v>168</v>
      </c>
      <c r="N210" s="139" t="s">
        <v>169</v>
      </c>
      <c r="O210" s="139" t="s">
        <v>170</v>
      </c>
      <c r="P210" s="669" t="s">
        <v>94</v>
      </c>
      <c r="Q210" s="670"/>
    </row>
    <row r="211" spans="1:17" ht="34.5" customHeight="1">
      <c r="A211" s="46"/>
      <c r="B211" s="36"/>
      <c r="C211" s="41" t="s">
        <v>271</v>
      </c>
      <c r="D211" s="35">
        <f t="shared" ref="D211:O211" si="46">D356</f>
        <v>387280</v>
      </c>
      <c r="E211" s="35">
        <f t="shared" si="46"/>
        <v>387280</v>
      </c>
      <c r="F211" s="35">
        <f t="shared" si="46"/>
        <v>387280</v>
      </c>
      <c r="G211" s="35">
        <f t="shared" si="46"/>
        <v>387280</v>
      </c>
      <c r="H211" s="35">
        <f t="shared" si="46"/>
        <v>387280</v>
      </c>
      <c r="I211" s="35">
        <f t="shared" si="46"/>
        <v>387280</v>
      </c>
      <c r="J211" s="35">
        <f t="shared" si="46"/>
        <v>387280</v>
      </c>
      <c r="K211" s="35">
        <f t="shared" si="46"/>
        <v>387280</v>
      </c>
      <c r="L211" s="35">
        <f t="shared" si="46"/>
        <v>387280</v>
      </c>
      <c r="M211" s="35">
        <f t="shared" si="46"/>
        <v>387280</v>
      </c>
      <c r="N211" s="35">
        <f t="shared" si="46"/>
        <v>387280</v>
      </c>
      <c r="O211" s="35">
        <f t="shared" si="46"/>
        <v>387280</v>
      </c>
      <c r="P211" s="832" t="s">
        <v>195</v>
      </c>
      <c r="Q211" s="833"/>
    </row>
    <row r="212" spans="1:17" ht="15.75" thickBot="1">
      <c r="A212" s="654" t="s">
        <v>272</v>
      </c>
      <c r="B212" s="655"/>
      <c r="C212" s="655"/>
      <c r="D212" s="38">
        <f>SUM(D211)</f>
        <v>387280</v>
      </c>
      <c r="E212" s="38">
        <f t="shared" ref="E212:O212" si="47">SUM(E211)</f>
        <v>387280</v>
      </c>
      <c r="F212" s="38">
        <f t="shared" si="47"/>
        <v>387280</v>
      </c>
      <c r="G212" s="38">
        <f t="shared" si="47"/>
        <v>387280</v>
      </c>
      <c r="H212" s="38">
        <f t="shared" si="47"/>
        <v>387280</v>
      </c>
      <c r="I212" s="38">
        <f t="shared" si="47"/>
        <v>387280</v>
      </c>
      <c r="J212" s="38">
        <f t="shared" si="47"/>
        <v>387280</v>
      </c>
      <c r="K212" s="38">
        <f t="shared" si="47"/>
        <v>387280</v>
      </c>
      <c r="L212" s="38">
        <f t="shared" si="47"/>
        <v>387280</v>
      </c>
      <c r="M212" s="38">
        <f t="shared" si="47"/>
        <v>387280</v>
      </c>
      <c r="N212" s="38">
        <f t="shared" si="47"/>
        <v>387280</v>
      </c>
      <c r="O212" s="38">
        <f t="shared" si="47"/>
        <v>387280</v>
      </c>
      <c r="P212" s="834"/>
      <c r="Q212" s="721"/>
    </row>
    <row r="214" spans="1:17" ht="15.75" thickBot="1"/>
    <row r="215" spans="1:17">
      <c r="A215" s="663" t="s">
        <v>391</v>
      </c>
      <c r="B215" s="664"/>
      <c r="C215" s="664"/>
      <c r="D215" s="664"/>
      <c r="E215" s="664"/>
      <c r="F215" s="664"/>
      <c r="G215" s="664"/>
      <c r="H215" s="664"/>
      <c r="I215" s="664"/>
      <c r="J215" s="664"/>
      <c r="K215" s="664"/>
      <c r="L215" s="664"/>
      <c r="M215" s="664"/>
      <c r="N215" s="664"/>
      <c r="O215" s="664"/>
      <c r="P215" s="664"/>
      <c r="Q215" s="665"/>
    </row>
    <row r="216" spans="1:17">
      <c r="A216" s="666"/>
      <c r="B216" s="667"/>
      <c r="C216" s="667"/>
      <c r="D216" s="667"/>
      <c r="E216" s="667"/>
      <c r="F216" s="667"/>
      <c r="G216" s="667"/>
      <c r="H216" s="667"/>
      <c r="I216" s="667"/>
      <c r="J216" s="667"/>
      <c r="K216" s="667"/>
      <c r="L216" s="667"/>
      <c r="M216" s="667"/>
      <c r="N216" s="667"/>
      <c r="O216" s="667"/>
      <c r="P216" s="667"/>
      <c r="Q216" s="668"/>
    </row>
    <row r="217" spans="1:17" ht="19.5" customHeight="1" thickBot="1">
      <c r="A217" s="652" t="s">
        <v>31</v>
      </c>
      <c r="B217" s="653"/>
      <c r="C217" s="653"/>
      <c r="D217" s="51" t="s">
        <v>0</v>
      </c>
      <c r="E217" s="51" t="s">
        <v>1</v>
      </c>
      <c r="F217" s="51" t="s">
        <v>2</v>
      </c>
      <c r="G217" s="51" t="s">
        <v>3</v>
      </c>
      <c r="H217" s="51" t="s">
        <v>4</v>
      </c>
      <c r="I217" s="51" t="s">
        <v>5</v>
      </c>
      <c r="J217" s="51" t="s">
        <v>6</v>
      </c>
      <c r="K217" s="51" t="s">
        <v>7</v>
      </c>
      <c r="L217" s="51" t="s">
        <v>8</v>
      </c>
      <c r="M217" s="51" t="s">
        <v>168</v>
      </c>
      <c r="N217" s="51" t="s">
        <v>169</v>
      </c>
      <c r="O217" s="51" t="s">
        <v>170</v>
      </c>
      <c r="P217" s="644" t="s">
        <v>94</v>
      </c>
      <c r="Q217" s="645"/>
    </row>
    <row r="218" spans="1:17" ht="32.25" customHeight="1">
      <c r="A218" s="363"/>
      <c r="B218" s="49"/>
      <c r="C218" s="364" t="s">
        <v>56</v>
      </c>
      <c r="D218" s="271">
        <f t="shared" ref="D218:O218" si="48">D359</f>
        <v>57813.388649690096</v>
      </c>
      <c r="E218" s="271">
        <f t="shared" si="48"/>
        <v>64236.201020109736</v>
      </c>
      <c r="F218" s="271">
        <f t="shared" si="48"/>
        <v>71373.855848859457</v>
      </c>
      <c r="G218" s="271">
        <f t="shared" si="48"/>
        <v>79304.433856434829</v>
      </c>
      <c r="H218" s="271">
        <f t="shared" si="48"/>
        <v>198261.75775074653</v>
      </c>
      <c r="I218" s="271">
        <f t="shared" si="48"/>
        <v>198261.75775074653</v>
      </c>
      <c r="J218" s="271">
        <f t="shared" si="48"/>
        <v>198261.75775074653</v>
      </c>
      <c r="K218" s="271">
        <f t="shared" si="48"/>
        <v>198261.75775074653</v>
      </c>
      <c r="L218" s="271">
        <f t="shared" si="48"/>
        <v>198261.75775074653</v>
      </c>
      <c r="M218" s="271">
        <f t="shared" si="48"/>
        <v>198261.75775074653</v>
      </c>
      <c r="N218" s="271">
        <f t="shared" si="48"/>
        <v>198261.75775074653</v>
      </c>
      <c r="O218" s="271">
        <f t="shared" si="48"/>
        <v>198261.75775074653</v>
      </c>
      <c r="P218" s="828" t="s">
        <v>195</v>
      </c>
      <c r="Q218" s="828"/>
    </row>
    <row r="219" spans="1:17" ht="20.25" customHeight="1" thickBot="1">
      <c r="A219" s="654" t="s">
        <v>218</v>
      </c>
      <c r="B219" s="655"/>
      <c r="C219" s="655"/>
      <c r="D219" s="38">
        <f>SUM(D218)</f>
        <v>57813.388649690096</v>
      </c>
      <c r="E219" s="38">
        <f t="shared" ref="E219:O219" si="49">SUM(E218)</f>
        <v>64236.201020109736</v>
      </c>
      <c r="F219" s="38">
        <f t="shared" si="49"/>
        <v>71373.855848859457</v>
      </c>
      <c r="G219" s="38">
        <f t="shared" si="49"/>
        <v>79304.433856434829</v>
      </c>
      <c r="H219" s="38">
        <f t="shared" si="49"/>
        <v>198261.75775074653</v>
      </c>
      <c r="I219" s="38">
        <f t="shared" si="49"/>
        <v>198261.75775074653</v>
      </c>
      <c r="J219" s="38">
        <f t="shared" si="49"/>
        <v>198261.75775074653</v>
      </c>
      <c r="K219" s="38">
        <f t="shared" si="49"/>
        <v>198261.75775074653</v>
      </c>
      <c r="L219" s="38">
        <f t="shared" si="49"/>
        <v>198261.75775074653</v>
      </c>
      <c r="M219" s="38">
        <f t="shared" si="49"/>
        <v>198261.75775074653</v>
      </c>
      <c r="N219" s="38">
        <f t="shared" si="49"/>
        <v>198261.75775074653</v>
      </c>
      <c r="O219" s="38">
        <f t="shared" si="49"/>
        <v>198261.75775074653</v>
      </c>
      <c r="P219" s="834"/>
      <c r="Q219" s="721"/>
    </row>
    <row r="221" spans="1:17" ht="15.75" thickBot="1"/>
    <row r="222" spans="1:17" ht="18.75" customHeight="1">
      <c r="A222" s="663" t="s">
        <v>44</v>
      </c>
      <c r="B222" s="664"/>
      <c r="C222" s="664"/>
      <c r="D222" s="664"/>
      <c r="E222" s="664"/>
      <c r="F222" s="664"/>
      <c r="G222" s="664"/>
      <c r="H222" s="664"/>
      <c r="I222" s="664"/>
      <c r="J222" s="664"/>
      <c r="K222" s="664"/>
      <c r="L222" s="664"/>
      <c r="M222" s="664"/>
      <c r="N222" s="664"/>
      <c r="O222" s="664"/>
      <c r="P222" s="664"/>
      <c r="Q222" s="665"/>
    </row>
    <row r="223" spans="1:17" ht="15" customHeight="1" thickBot="1">
      <c r="A223" s="666"/>
      <c r="B223" s="667"/>
      <c r="C223" s="667"/>
      <c r="D223" s="667"/>
      <c r="E223" s="667"/>
      <c r="F223" s="667"/>
      <c r="G223" s="667"/>
      <c r="H223" s="667"/>
      <c r="I223" s="667"/>
      <c r="J223" s="667"/>
      <c r="K223" s="667"/>
      <c r="L223" s="667"/>
      <c r="M223" s="667"/>
      <c r="N223" s="667"/>
      <c r="O223" s="667"/>
      <c r="P223" s="675"/>
      <c r="Q223" s="676"/>
    </row>
    <row r="224" spans="1:17" ht="15" customHeight="1" thickBot="1">
      <c r="A224" s="709" t="s">
        <v>31</v>
      </c>
      <c r="B224" s="710"/>
      <c r="C224" s="711"/>
      <c r="D224" s="117" t="s">
        <v>0</v>
      </c>
      <c r="E224" s="230" t="s">
        <v>1</v>
      </c>
      <c r="F224" s="230" t="s">
        <v>2</v>
      </c>
      <c r="G224" s="230" t="s">
        <v>3</v>
      </c>
      <c r="H224" s="231" t="s">
        <v>4</v>
      </c>
      <c r="I224" s="238" t="s">
        <v>5</v>
      </c>
      <c r="J224" s="117" t="s">
        <v>6</v>
      </c>
      <c r="K224" s="230" t="s">
        <v>7</v>
      </c>
      <c r="L224" s="230" t="s">
        <v>8</v>
      </c>
      <c r="M224" s="231" t="s">
        <v>168</v>
      </c>
      <c r="N224" s="117" t="s">
        <v>169</v>
      </c>
      <c r="O224" s="231" t="s">
        <v>170</v>
      </c>
      <c r="P224" s="831" t="s">
        <v>94</v>
      </c>
      <c r="Q224" s="694"/>
    </row>
    <row r="225" spans="1:17" ht="25.5" customHeight="1" thickBot="1">
      <c r="A225" s="148"/>
      <c r="B225" s="149"/>
      <c r="C225" s="150"/>
      <c r="D225" s="677" t="s">
        <v>248</v>
      </c>
      <c r="E225" s="678"/>
      <c r="F225" s="678"/>
      <c r="G225" s="678"/>
      <c r="H225" s="679"/>
      <c r="I225" s="387" t="s">
        <v>249</v>
      </c>
      <c r="J225" s="680" t="s">
        <v>250</v>
      </c>
      <c r="K225" s="681"/>
      <c r="L225" s="681"/>
      <c r="M225" s="682"/>
      <c r="N225" s="683" t="s">
        <v>251</v>
      </c>
      <c r="O225" s="684"/>
      <c r="P225" s="149"/>
      <c r="Q225" s="150"/>
    </row>
    <row r="226" spans="1:17" s="28" customFormat="1" ht="29.25" customHeight="1">
      <c r="A226" s="457"/>
      <c r="B226" s="458"/>
      <c r="C226" s="353" t="s">
        <v>235</v>
      </c>
      <c r="D226" s="460">
        <v>12500</v>
      </c>
      <c r="E226" s="461">
        <v>12500</v>
      </c>
      <c r="F226" s="461">
        <v>12500</v>
      </c>
      <c r="G226" s="461">
        <v>12500</v>
      </c>
      <c r="H226" s="462">
        <v>12500</v>
      </c>
      <c r="I226" s="463">
        <v>12500</v>
      </c>
      <c r="J226" s="460">
        <v>12500</v>
      </c>
      <c r="K226" s="461">
        <v>12500</v>
      </c>
      <c r="L226" s="461">
        <v>12500</v>
      </c>
      <c r="M226" s="462">
        <v>12500</v>
      </c>
      <c r="N226" s="463">
        <v>12500</v>
      </c>
      <c r="O226" s="476">
        <v>12500</v>
      </c>
      <c r="P226" s="458"/>
      <c r="Q226" s="459"/>
    </row>
    <row r="227" spans="1:17" s="5" customFormat="1" ht="32.25" customHeight="1">
      <c r="A227" s="242"/>
      <c r="B227" s="243"/>
      <c r="C227" s="353" t="s">
        <v>45</v>
      </c>
      <c r="D227" s="465">
        <f>'02-HH-2014'!$C$34*2</f>
        <v>112096.10866666665</v>
      </c>
      <c r="E227" s="153">
        <f>'02-HH-2014'!$C$34*2</f>
        <v>112096.10866666665</v>
      </c>
      <c r="F227" s="153">
        <f>'02-HH-2014'!$C$34*2</f>
        <v>112096.10866666665</v>
      </c>
      <c r="G227" s="153">
        <f>'02-HH-2014'!$C$34*2</f>
        <v>112096.10866666665</v>
      </c>
      <c r="H227" s="467">
        <f>'02-HH-2014'!$C$34*2</f>
        <v>112096.10866666665</v>
      </c>
      <c r="I227" s="456">
        <f>'02-HH-2014'!$C$34*2</f>
        <v>112096.10866666665</v>
      </c>
      <c r="J227" s="465">
        <f>'02-HH-2014'!$C$34*2</f>
        <v>112096.10866666665</v>
      </c>
      <c r="K227" s="469">
        <f>'02-HH-2014'!$C$34*2</f>
        <v>112096.10866666665</v>
      </c>
      <c r="L227" s="469">
        <f>'02-HH-2014'!$C$34*2</f>
        <v>112096.10866666665</v>
      </c>
      <c r="M227" s="467">
        <f>'02-HH-2014'!$C$34*2</f>
        <v>112096.10866666665</v>
      </c>
      <c r="N227" s="470">
        <f>'02-HH-2014'!$C$34*2</f>
        <v>112096.10866666665</v>
      </c>
      <c r="O227" s="477">
        <f>'02-HH-2014'!$C$34*2</f>
        <v>112096.10866666665</v>
      </c>
      <c r="P227" s="780" t="s">
        <v>375</v>
      </c>
      <c r="Q227" s="704"/>
    </row>
    <row r="228" spans="1:17" s="5" customFormat="1" ht="34.5" customHeight="1">
      <c r="A228" s="151"/>
      <c r="B228" s="152"/>
      <c r="C228" s="354" t="s">
        <v>46</v>
      </c>
      <c r="D228" s="466">
        <f>321637*2</f>
        <v>643274</v>
      </c>
      <c r="E228" s="153">
        <f t="shared" ref="E228:H228" si="50">321637*2</f>
        <v>643274</v>
      </c>
      <c r="F228" s="153">
        <f t="shared" si="50"/>
        <v>643274</v>
      </c>
      <c r="G228" s="153">
        <f t="shared" si="50"/>
        <v>643274</v>
      </c>
      <c r="H228" s="468">
        <f t="shared" si="50"/>
        <v>643274</v>
      </c>
      <c r="I228" s="286">
        <f>321637*3</f>
        <v>964911</v>
      </c>
      <c r="J228" s="466">
        <f>321637*4</f>
        <v>1286548</v>
      </c>
      <c r="K228" s="153">
        <f t="shared" ref="K228:M228" si="51">321637*4</f>
        <v>1286548</v>
      </c>
      <c r="L228" s="153">
        <f t="shared" si="51"/>
        <v>1286548</v>
      </c>
      <c r="M228" s="468">
        <f t="shared" si="51"/>
        <v>1286548</v>
      </c>
      <c r="N228" s="286">
        <f>321637*5</f>
        <v>1608185</v>
      </c>
      <c r="O228" s="478">
        <f>321637*5</f>
        <v>1608185</v>
      </c>
      <c r="P228" s="781" t="s">
        <v>283</v>
      </c>
      <c r="Q228" s="706"/>
    </row>
    <row r="229" spans="1:17" s="5" customFormat="1" ht="43.5" customHeight="1">
      <c r="A229" s="151"/>
      <c r="B229" s="152"/>
      <c r="C229" s="354" t="s">
        <v>47</v>
      </c>
      <c r="D229" s="153">
        <f>94253*2</f>
        <v>188506</v>
      </c>
      <c r="E229" s="153">
        <f>94253*2</f>
        <v>188506</v>
      </c>
      <c r="F229" s="153">
        <f>94253*2</f>
        <v>188506</v>
      </c>
      <c r="G229" s="153">
        <f>204288.3793812*2</f>
        <v>408576.75876240002</v>
      </c>
      <c r="H229" s="287">
        <f>336286.744841107*2</f>
        <v>672573.48968221399</v>
      </c>
      <c r="I229" s="288">
        <f>537884.248452602*3</f>
        <v>1613652.7453578059</v>
      </c>
      <c r="J229" s="286">
        <f>670246.24577328*4</f>
        <v>2680984.9830931202</v>
      </c>
      <c r="K229" s="153">
        <f>J229+132402</f>
        <v>2813386.9830931202</v>
      </c>
      <c r="L229" s="153">
        <f t="shared" ref="L229:O229" si="52">K229+132402</f>
        <v>2945788.9830931202</v>
      </c>
      <c r="M229" s="153">
        <f t="shared" si="52"/>
        <v>3078190.9830931202</v>
      </c>
      <c r="N229" s="153">
        <f t="shared" si="52"/>
        <v>3210592.9830931202</v>
      </c>
      <c r="O229" s="153">
        <f t="shared" si="52"/>
        <v>3342994.9830931202</v>
      </c>
      <c r="P229" s="781" t="s">
        <v>374</v>
      </c>
      <c r="Q229" s="706"/>
    </row>
    <row r="230" spans="1:17" s="5" customFormat="1" ht="44.25" customHeight="1">
      <c r="A230" s="151"/>
      <c r="B230" s="152"/>
      <c r="C230" s="355" t="s">
        <v>48</v>
      </c>
      <c r="D230" s="466">
        <f>'02-HH-2014'!$C$26*2</f>
        <v>322273.05143896001</v>
      </c>
      <c r="E230" s="153">
        <f>'02-HH-2014'!$C$26*2</f>
        <v>322273.05143896001</v>
      </c>
      <c r="F230" s="153">
        <f>'02-HH-2014'!$C$26*2</f>
        <v>322273.05143896001</v>
      </c>
      <c r="G230" s="153">
        <f>'02-HH-2014'!$C$26*2</f>
        <v>322273.05143896001</v>
      </c>
      <c r="H230" s="479">
        <f>'02-HH-2014'!$C$26*2</f>
        <v>322273.05143896001</v>
      </c>
      <c r="I230" s="466">
        <f>'02-HH-2014'!$C$26*3</f>
        <v>483409.57715844002</v>
      </c>
      <c r="J230" s="466">
        <f>'02-HH-2014'!$C$26*4</f>
        <v>644546.10287792003</v>
      </c>
      <c r="K230" s="153">
        <f>'02-HH-2014'!$C$26*4</f>
        <v>644546.10287792003</v>
      </c>
      <c r="L230" s="153">
        <f>'02-HH-2014'!$C$26*4</f>
        <v>644546.10287792003</v>
      </c>
      <c r="M230" s="479">
        <f>'02-HH-2014'!$C$26*4</f>
        <v>644546.10287792003</v>
      </c>
      <c r="N230" s="286">
        <f>'02-HH-2014'!$C$26*5</f>
        <v>805682.62859740003</v>
      </c>
      <c r="O230" s="478">
        <f>'02-HH-2014'!$C$26*5</f>
        <v>805682.62859740003</v>
      </c>
      <c r="P230" s="780" t="s">
        <v>375</v>
      </c>
      <c r="Q230" s="704"/>
    </row>
    <row r="231" spans="1:17" s="5" customFormat="1" ht="61.5" customHeight="1">
      <c r="A231" s="154"/>
      <c r="B231" s="155"/>
      <c r="C231" s="355" t="s">
        <v>49</v>
      </c>
      <c r="D231" s="466">
        <f>(896680/3)*2</f>
        <v>597786.66666666663</v>
      </c>
      <c r="E231" s="153">
        <f t="shared" ref="E231:H231" si="53">(896680/3)*2</f>
        <v>597786.66666666663</v>
      </c>
      <c r="F231" s="153">
        <f t="shared" si="53"/>
        <v>597786.66666666663</v>
      </c>
      <c r="G231" s="153">
        <f t="shared" si="53"/>
        <v>597786.66666666663</v>
      </c>
      <c r="H231" s="468">
        <f t="shared" si="53"/>
        <v>597786.66666666663</v>
      </c>
      <c r="I231" s="286">
        <f>1163480/3</f>
        <v>387826.66666666669</v>
      </c>
      <c r="J231" s="466">
        <f>1221480/3</f>
        <v>407160</v>
      </c>
      <c r="K231" s="153">
        <f>J231+58000</f>
        <v>465160</v>
      </c>
      <c r="L231" s="153">
        <f t="shared" ref="L231:M231" si="54">K231+58000</f>
        <v>523160</v>
      </c>
      <c r="M231" s="478">
        <f t="shared" si="54"/>
        <v>581160</v>
      </c>
      <c r="N231" s="286">
        <f>1569480/3</f>
        <v>523160</v>
      </c>
      <c r="O231" s="478">
        <f>N231+58000</f>
        <v>581160</v>
      </c>
      <c r="P231" s="781" t="s">
        <v>376</v>
      </c>
      <c r="Q231" s="706"/>
    </row>
    <row r="232" spans="1:17" s="5" customFormat="1" ht="51" customHeight="1">
      <c r="A232" s="154"/>
      <c r="B232" s="155"/>
      <c r="C232" s="355" t="s">
        <v>50</v>
      </c>
      <c r="D232" s="471">
        <f>($D$244)*2*2</f>
        <v>76000</v>
      </c>
      <c r="E232" s="471">
        <f t="shared" ref="E232:H232" si="55">($D$244)*2*2</f>
        <v>76000</v>
      </c>
      <c r="F232" s="471">
        <f t="shared" si="55"/>
        <v>76000</v>
      </c>
      <c r="G232" s="471">
        <f t="shared" si="55"/>
        <v>76000</v>
      </c>
      <c r="H232" s="471">
        <f t="shared" si="55"/>
        <v>76000</v>
      </c>
      <c r="I232" s="471">
        <f>($D$244)*2*3</f>
        <v>114000</v>
      </c>
      <c r="J232" s="471">
        <f>($D$244)*2*4</f>
        <v>152000</v>
      </c>
      <c r="K232" s="471">
        <f t="shared" ref="K232:M232" si="56">($D$244)*2*4</f>
        <v>152000</v>
      </c>
      <c r="L232" s="471">
        <f t="shared" si="56"/>
        <v>152000</v>
      </c>
      <c r="M232" s="471">
        <f t="shared" si="56"/>
        <v>152000</v>
      </c>
      <c r="N232" s="471">
        <f>($D$244)*2*5</f>
        <v>190000</v>
      </c>
      <c r="O232" s="471">
        <f>($D$244)*2*5</f>
        <v>190000</v>
      </c>
      <c r="P232" s="781" t="s">
        <v>377</v>
      </c>
      <c r="Q232" s="706"/>
    </row>
    <row r="233" spans="1:17" s="5" customFormat="1" ht="33.75" customHeight="1">
      <c r="A233" s="154"/>
      <c r="B233" s="155"/>
      <c r="C233" s="355" t="s">
        <v>51</v>
      </c>
      <c r="D233" s="472">
        <f>(D253/3)*2</f>
        <v>257333.33333333334</v>
      </c>
      <c r="E233" s="156">
        <f>(E253/3)*2</f>
        <v>257333.33333333334</v>
      </c>
      <c r="F233" s="156">
        <f>(F253/3)*2</f>
        <v>257333.33333333334</v>
      </c>
      <c r="G233" s="156">
        <f>(G253/3)*2</f>
        <v>257333.33333333334</v>
      </c>
      <c r="H233" s="474">
        <f>(H253/3)*2</f>
        <v>273333.33333333331</v>
      </c>
      <c r="I233" s="361">
        <f t="shared" ref="I233:O233" si="57">I253/3</f>
        <v>136666.66666666666</v>
      </c>
      <c r="J233" s="472">
        <f t="shared" si="57"/>
        <v>136666.66666666666</v>
      </c>
      <c r="K233" s="156">
        <f t="shared" si="57"/>
        <v>136666.66666666666</v>
      </c>
      <c r="L233" s="156">
        <f t="shared" si="57"/>
        <v>136666.66666666666</v>
      </c>
      <c r="M233" s="474">
        <f t="shared" si="57"/>
        <v>136666.66666666666</v>
      </c>
      <c r="N233" s="357">
        <f t="shared" si="57"/>
        <v>136666.66666666666</v>
      </c>
      <c r="O233" s="474">
        <f t="shared" si="57"/>
        <v>136666.66666666666</v>
      </c>
      <c r="P233" s="781" t="s">
        <v>195</v>
      </c>
      <c r="Q233" s="706"/>
    </row>
    <row r="234" spans="1:17" s="5" customFormat="1" ht="34.5" customHeight="1">
      <c r="A234" s="154"/>
      <c r="B234" s="155"/>
      <c r="C234" s="464" t="s">
        <v>52</v>
      </c>
      <c r="D234" s="472">
        <f t="shared" ref="D234:O234" si="58">$D$262/3</f>
        <v>206118.19571865443</v>
      </c>
      <c r="E234" s="156">
        <f t="shared" si="58"/>
        <v>206118.19571865443</v>
      </c>
      <c r="F234" s="156">
        <f t="shared" si="58"/>
        <v>206118.19571865443</v>
      </c>
      <c r="G234" s="156">
        <f t="shared" si="58"/>
        <v>206118.19571865443</v>
      </c>
      <c r="H234" s="475">
        <f t="shared" si="58"/>
        <v>206118.19571865443</v>
      </c>
      <c r="I234" s="357">
        <f t="shared" si="58"/>
        <v>206118.19571865443</v>
      </c>
      <c r="J234" s="472">
        <f t="shared" si="58"/>
        <v>206118.19571865443</v>
      </c>
      <c r="K234" s="156">
        <f t="shared" si="58"/>
        <v>206118.19571865443</v>
      </c>
      <c r="L234" s="156">
        <f t="shared" si="58"/>
        <v>206118.19571865443</v>
      </c>
      <c r="M234" s="475">
        <f t="shared" si="58"/>
        <v>206118.19571865443</v>
      </c>
      <c r="N234" s="357">
        <f t="shared" si="58"/>
        <v>206118.19571865443</v>
      </c>
      <c r="O234" s="474">
        <f t="shared" si="58"/>
        <v>206118.19571865443</v>
      </c>
      <c r="P234" s="781" t="s">
        <v>195</v>
      </c>
      <c r="Q234" s="706"/>
    </row>
    <row r="235" spans="1:17" s="5" customFormat="1" ht="32.25" customHeight="1" thickBot="1">
      <c r="A235" s="351"/>
      <c r="B235" s="352"/>
      <c r="C235" s="356" t="s">
        <v>53</v>
      </c>
      <c r="D235" s="473">
        <f>'02-HH-2014'!$C$26*2</f>
        <v>322273.05143896001</v>
      </c>
      <c r="E235" s="156">
        <f>'02-HH-2014'!$C$26*2</f>
        <v>322273.05143896001</v>
      </c>
      <c r="F235" s="156">
        <f>'02-HH-2014'!$C$26*2</f>
        <v>322273.05143896001</v>
      </c>
      <c r="G235" s="156">
        <f>'02-HH-2014'!$C$26*2</f>
        <v>322273.05143896001</v>
      </c>
      <c r="H235" s="480">
        <f>'02-HH-2014'!$C$26*2</f>
        <v>322273.05143896001</v>
      </c>
      <c r="I235" s="473">
        <f>'02-HH-2014'!$C$26*3</f>
        <v>483409.57715844002</v>
      </c>
      <c r="J235" s="473">
        <f>'02-HH-2014'!$C$26*4</f>
        <v>644546.10287792003</v>
      </c>
      <c r="K235" s="156">
        <f>'02-HH-2014'!$C$26*4</f>
        <v>644546.10287792003</v>
      </c>
      <c r="L235" s="156">
        <f>'02-HH-2014'!$C$26*4</f>
        <v>644546.10287792003</v>
      </c>
      <c r="M235" s="480">
        <f>'02-HH-2014'!$C$26*4</f>
        <v>644546.10287792003</v>
      </c>
      <c r="N235" s="358">
        <f>'02-HH-2014'!$C$26*5</f>
        <v>805682.62859740003</v>
      </c>
      <c r="O235" s="481">
        <f>'02-HH-2014'!$C$26*5</f>
        <v>805682.62859740003</v>
      </c>
      <c r="P235" s="847" t="s">
        <v>195</v>
      </c>
      <c r="Q235" s="848"/>
    </row>
    <row r="236" spans="1:17" ht="15.75" thickBot="1">
      <c r="A236" s="843" t="s">
        <v>215</v>
      </c>
      <c r="B236" s="844"/>
      <c r="C236" s="845"/>
      <c r="D236" s="359">
        <f>SUM(D227:D235)</f>
        <v>2725660.4072632408</v>
      </c>
      <c r="E236" s="62">
        <f t="shared" ref="E236:N236" si="59">SUM(E227:E235)</f>
        <v>2725660.4072632408</v>
      </c>
      <c r="F236" s="62">
        <f t="shared" si="59"/>
        <v>2725660.4072632408</v>
      </c>
      <c r="G236" s="62">
        <f t="shared" si="59"/>
        <v>2945731.1660256414</v>
      </c>
      <c r="H236" s="360">
        <f t="shared" si="59"/>
        <v>3225727.8969454551</v>
      </c>
      <c r="I236" s="362">
        <f t="shared" si="59"/>
        <v>4502090.5373933399</v>
      </c>
      <c r="J236" s="359">
        <f t="shared" si="59"/>
        <v>6270666.1599009484</v>
      </c>
      <c r="K236" s="62">
        <f>SUM(K227:K235)</f>
        <v>6461068.1599009484</v>
      </c>
      <c r="L236" s="62">
        <f t="shared" si="59"/>
        <v>6651470.1599009484</v>
      </c>
      <c r="M236" s="360">
        <f t="shared" si="59"/>
        <v>6841872.1599009484</v>
      </c>
      <c r="N236" s="359">
        <f t="shared" si="59"/>
        <v>7598184.2113399087</v>
      </c>
      <c r="O236" s="360">
        <f>SUM(O227:O235)</f>
        <v>7788586.2113399087</v>
      </c>
      <c r="P236" s="846"/>
      <c r="Q236" s="789"/>
    </row>
    <row r="238" spans="1:17" ht="15.75" thickBot="1"/>
    <row r="239" spans="1:17" ht="18.75" customHeight="1">
      <c r="A239" s="663" t="s">
        <v>276</v>
      </c>
      <c r="B239" s="664"/>
      <c r="C239" s="664"/>
      <c r="D239" s="664"/>
      <c r="E239" s="664"/>
      <c r="F239" s="664"/>
      <c r="G239" s="664"/>
      <c r="H239" s="664"/>
      <c r="I239" s="664"/>
      <c r="J239" s="664"/>
      <c r="K239" s="664"/>
      <c r="L239" s="664"/>
      <c r="M239" s="664"/>
      <c r="N239" s="664"/>
      <c r="O239" s="664"/>
      <c r="P239" s="664"/>
      <c r="Q239" s="665"/>
    </row>
    <row r="240" spans="1:17" ht="15" customHeight="1">
      <c r="A240" s="666"/>
      <c r="B240" s="667"/>
      <c r="C240" s="667"/>
      <c r="D240" s="667"/>
      <c r="E240" s="667"/>
      <c r="F240" s="667"/>
      <c r="G240" s="667"/>
      <c r="H240" s="667"/>
      <c r="I240" s="667"/>
      <c r="J240" s="667"/>
      <c r="K240" s="667"/>
      <c r="L240" s="667"/>
      <c r="M240" s="667"/>
      <c r="N240" s="667"/>
      <c r="O240" s="667"/>
      <c r="P240" s="667"/>
      <c r="Q240" s="668"/>
    </row>
    <row r="241" spans="1:17" ht="15" customHeight="1">
      <c r="A241" s="658" t="s">
        <v>31</v>
      </c>
      <c r="B241" s="659"/>
      <c r="C241" s="659"/>
      <c r="D241" s="134" t="s">
        <v>0</v>
      </c>
      <c r="E241" s="134" t="s">
        <v>1</v>
      </c>
      <c r="F241" s="134" t="s">
        <v>2</v>
      </c>
      <c r="G241" s="134" t="s">
        <v>3</v>
      </c>
      <c r="H241" s="134" t="s">
        <v>4</v>
      </c>
      <c r="I241" s="134" t="s">
        <v>5</v>
      </c>
      <c r="J241" s="134" t="s">
        <v>6</v>
      </c>
      <c r="K241" s="134" t="s">
        <v>7</v>
      </c>
      <c r="L241" s="134" t="s">
        <v>8</v>
      </c>
      <c r="M241" s="134" t="s">
        <v>168</v>
      </c>
      <c r="N241" s="134" t="s">
        <v>169</v>
      </c>
      <c r="O241" s="134" t="s">
        <v>170</v>
      </c>
      <c r="P241" s="693" t="s">
        <v>94</v>
      </c>
      <c r="Q241" s="694"/>
    </row>
    <row r="242" spans="1:17">
      <c r="A242" s="28"/>
      <c r="B242" s="28"/>
      <c r="C242" s="28"/>
      <c r="D242" s="685" t="s">
        <v>248</v>
      </c>
      <c r="E242" s="685"/>
      <c r="F242" s="685"/>
      <c r="G242" s="685"/>
      <c r="H242" s="685"/>
      <c r="I242" s="131" t="s">
        <v>249</v>
      </c>
      <c r="J242" s="686" t="s">
        <v>250</v>
      </c>
      <c r="K242" s="686"/>
      <c r="L242" s="686"/>
      <c r="M242" s="686"/>
      <c r="N242" s="687" t="s">
        <v>251</v>
      </c>
      <c r="O242" s="687"/>
      <c r="P242" s="28"/>
      <c r="Q242" s="28"/>
    </row>
    <row r="243" spans="1:17" ht="45">
      <c r="A243" s="46"/>
      <c r="B243" s="36"/>
      <c r="C243" s="133" t="s">
        <v>277</v>
      </c>
      <c r="D243" s="142">
        <f>690000</f>
        <v>690000</v>
      </c>
      <c r="E243" s="142">
        <f t="shared" ref="E243:O243" si="60">690000</f>
        <v>690000</v>
      </c>
      <c r="F243" s="142">
        <f t="shared" si="60"/>
        <v>690000</v>
      </c>
      <c r="G243" s="142">
        <f t="shared" si="60"/>
        <v>690000</v>
      </c>
      <c r="H243" s="142">
        <f t="shared" si="60"/>
        <v>690000</v>
      </c>
      <c r="I243" s="142">
        <f t="shared" si="60"/>
        <v>690000</v>
      </c>
      <c r="J243" s="142">
        <f t="shared" si="60"/>
        <v>690000</v>
      </c>
      <c r="K243" s="142">
        <f t="shared" si="60"/>
        <v>690000</v>
      </c>
      <c r="L243" s="142">
        <f t="shared" si="60"/>
        <v>690000</v>
      </c>
      <c r="M243" s="142">
        <f t="shared" si="60"/>
        <v>690000</v>
      </c>
      <c r="N243" s="142">
        <f t="shared" si="60"/>
        <v>690000</v>
      </c>
      <c r="O243" s="142">
        <f t="shared" si="60"/>
        <v>690000</v>
      </c>
      <c r="P243" s="132" t="s">
        <v>278</v>
      </c>
      <c r="Q243" s="132"/>
    </row>
    <row r="244" spans="1:17" ht="15" customHeight="1">
      <c r="A244" s="46"/>
      <c r="B244" s="36"/>
      <c r="C244" s="69" t="s">
        <v>282</v>
      </c>
      <c r="D244" s="142">
        <f>19000</f>
        <v>19000</v>
      </c>
      <c r="E244" s="142">
        <f>19000*8</f>
        <v>152000</v>
      </c>
      <c r="F244" s="142">
        <f>19000*8</f>
        <v>152000</v>
      </c>
      <c r="G244" s="142">
        <f>19000*8</f>
        <v>152000</v>
      </c>
      <c r="H244" s="68">
        <f>29000*8</f>
        <v>232000</v>
      </c>
      <c r="I244" s="68">
        <f>29000*8</f>
        <v>232000</v>
      </c>
      <c r="J244" s="68">
        <f>39000*8</f>
        <v>312000</v>
      </c>
      <c r="K244" s="68">
        <f>39000*8</f>
        <v>312000</v>
      </c>
      <c r="L244" s="68">
        <f>45900*8</f>
        <v>367200</v>
      </c>
      <c r="M244" s="68">
        <f>45900*8</f>
        <v>367200</v>
      </c>
      <c r="N244" s="68">
        <f>45900*8</f>
        <v>367200</v>
      </c>
      <c r="O244" s="68">
        <f>59000*8</f>
        <v>472000</v>
      </c>
      <c r="P244" s="132" t="s">
        <v>279</v>
      </c>
      <c r="Q244" s="132"/>
    </row>
    <row r="245" spans="1:17" ht="15" customHeight="1" thickBot="1">
      <c r="A245" s="654" t="s">
        <v>280</v>
      </c>
      <c r="B245" s="655"/>
      <c r="C245" s="655"/>
      <c r="D245" s="62">
        <f t="shared" ref="D245:O245" si="61">SUM(D243:D244)</f>
        <v>709000</v>
      </c>
      <c r="E245" s="62">
        <f t="shared" si="61"/>
        <v>842000</v>
      </c>
      <c r="F245" s="62">
        <f t="shared" si="61"/>
        <v>842000</v>
      </c>
      <c r="G245" s="62">
        <f t="shared" si="61"/>
        <v>842000</v>
      </c>
      <c r="H245" s="62">
        <f t="shared" si="61"/>
        <v>922000</v>
      </c>
      <c r="I245" s="62">
        <f t="shared" si="61"/>
        <v>922000</v>
      </c>
      <c r="J245" s="62">
        <f t="shared" si="61"/>
        <v>1002000</v>
      </c>
      <c r="K245" s="62">
        <f t="shared" si="61"/>
        <v>1002000</v>
      </c>
      <c r="L245" s="62">
        <f t="shared" si="61"/>
        <v>1057200</v>
      </c>
      <c r="M245" s="62">
        <f t="shared" si="61"/>
        <v>1057200</v>
      </c>
      <c r="N245" s="62">
        <f t="shared" si="61"/>
        <v>1057200</v>
      </c>
      <c r="O245" s="62">
        <f t="shared" si="61"/>
        <v>1162000</v>
      </c>
      <c r="P245" s="788"/>
      <c r="Q245" s="789"/>
    </row>
    <row r="246" spans="1:17" ht="15.75" thickBot="1"/>
    <row r="247" spans="1:17">
      <c r="A247" s="663" t="s">
        <v>51</v>
      </c>
      <c r="B247" s="664"/>
      <c r="C247" s="664"/>
      <c r="D247" s="664"/>
      <c r="E247" s="664"/>
      <c r="F247" s="664"/>
      <c r="G247" s="664"/>
      <c r="H247" s="664"/>
      <c r="I247" s="664"/>
      <c r="J247" s="664"/>
      <c r="K247" s="664"/>
      <c r="L247" s="664"/>
      <c r="M247" s="664"/>
      <c r="N247" s="664"/>
      <c r="O247" s="664"/>
      <c r="P247" s="664"/>
      <c r="Q247" s="665"/>
    </row>
    <row r="248" spans="1:17">
      <c r="A248" s="666"/>
      <c r="B248" s="667"/>
      <c r="C248" s="667"/>
      <c r="D248" s="667"/>
      <c r="E248" s="667"/>
      <c r="F248" s="667"/>
      <c r="G248" s="667"/>
      <c r="H248" s="667"/>
      <c r="I248" s="667"/>
      <c r="J248" s="667"/>
      <c r="K248" s="667"/>
      <c r="L248" s="667"/>
      <c r="M248" s="667"/>
      <c r="N248" s="667"/>
      <c r="O248" s="667"/>
      <c r="P248" s="667"/>
      <c r="Q248" s="668"/>
    </row>
    <row r="249" spans="1:17">
      <c r="A249" s="658" t="s">
        <v>31</v>
      </c>
      <c r="B249" s="659"/>
      <c r="C249" s="659"/>
      <c r="D249" s="134" t="s">
        <v>0</v>
      </c>
      <c r="E249" s="134" t="s">
        <v>1</v>
      </c>
      <c r="F249" s="134" t="s">
        <v>2</v>
      </c>
      <c r="G249" s="134" t="s">
        <v>3</v>
      </c>
      <c r="H249" s="134" t="s">
        <v>4</v>
      </c>
      <c r="I249" s="134" t="s">
        <v>5</v>
      </c>
      <c r="J249" s="134" t="s">
        <v>6</v>
      </c>
      <c r="K249" s="134" t="s">
        <v>7</v>
      </c>
      <c r="L249" s="134" t="s">
        <v>8</v>
      </c>
      <c r="M249" s="134" t="s">
        <v>168</v>
      </c>
      <c r="N249" s="134" t="s">
        <v>169</v>
      </c>
      <c r="O249" s="134" t="s">
        <v>170</v>
      </c>
      <c r="P249" s="693" t="s">
        <v>94</v>
      </c>
      <c r="Q249" s="694"/>
    </row>
    <row r="250" spans="1:17" ht="15" customHeight="1">
      <c r="A250" s="28"/>
      <c r="B250" s="28"/>
      <c r="C250" s="28"/>
      <c r="D250" s="685" t="s">
        <v>248</v>
      </c>
      <c r="E250" s="685"/>
      <c r="F250" s="685"/>
      <c r="G250" s="685"/>
      <c r="H250" s="685"/>
      <c r="I250" s="131" t="s">
        <v>249</v>
      </c>
      <c r="J250" s="686" t="s">
        <v>250</v>
      </c>
      <c r="K250" s="686"/>
      <c r="L250" s="686"/>
      <c r="M250" s="686"/>
      <c r="N250" s="687" t="s">
        <v>251</v>
      </c>
      <c r="O250" s="687"/>
      <c r="P250" s="28"/>
      <c r="Q250" s="28"/>
    </row>
    <row r="251" spans="1:17">
      <c r="A251" s="46"/>
      <c r="B251" s="36"/>
      <c r="C251" s="133" t="s">
        <v>277</v>
      </c>
      <c r="D251" s="142">
        <f t="shared" ref="D251:O251" si="62">290000</f>
        <v>290000</v>
      </c>
      <c r="E251" s="142">
        <f t="shared" si="62"/>
        <v>290000</v>
      </c>
      <c r="F251" s="142">
        <f t="shared" si="62"/>
        <v>290000</v>
      </c>
      <c r="G251" s="142">
        <f t="shared" si="62"/>
        <v>290000</v>
      </c>
      <c r="H251" s="142">
        <f t="shared" si="62"/>
        <v>290000</v>
      </c>
      <c r="I251" s="142">
        <f t="shared" si="62"/>
        <v>290000</v>
      </c>
      <c r="J251" s="142">
        <f t="shared" si="62"/>
        <v>290000</v>
      </c>
      <c r="K251" s="142">
        <f t="shared" si="62"/>
        <v>290000</v>
      </c>
      <c r="L251" s="142">
        <f t="shared" si="62"/>
        <v>290000</v>
      </c>
      <c r="M251" s="142">
        <f t="shared" si="62"/>
        <v>290000</v>
      </c>
      <c r="N251" s="142">
        <f t="shared" si="62"/>
        <v>290000</v>
      </c>
      <c r="O251" s="142">
        <f t="shared" si="62"/>
        <v>290000</v>
      </c>
      <c r="P251" s="787" t="s">
        <v>278</v>
      </c>
      <c r="Q251" s="787"/>
    </row>
    <row r="252" spans="1:17">
      <c r="A252" s="46"/>
      <c r="B252" s="36"/>
      <c r="C252" s="69" t="s">
        <v>282</v>
      </c>
      <c r="D252" s="142">
        <f>12000*8</f>
        <v>96000</v>
      </c>
      <c r="E252" s="142">
        <f t="shared" ref="E252:G252" si="63">12000*8</f>
        <v>96000</v>
      </c>
      <c r="F252" s="142">
        <f t="shared" si="63"/>
        <v>96000</v>
      </c>
      <c r="G252" s="142">
        <f t="shared" si="63"/>
        <v>96000</v>
      </c>
      <c r="H252" s="142">
        <f>15000*8</f>
        <v>120000</v>
      </c>
      <c r="I252" s="142">
        <f t="shared" ref="I252:N252" si="64">15000*8</f>
        <v>120000</v>
      </c>
      <c r="J252" s="142">
        <f t="shared" si="64"/>
        <v>120000</v>
      </c>
      <c r="K252" s="142">
        <f t="shared" si="64"/>
        <v>120000</v>
      </c>
      <c r="L252" s="142">
        <f t="shared" si="64"/>
        <v>120000</v>
      </c>
      <c r="M252" s="142">
        <f t="shared" si="64"/>
        <v>120000</v>
      </c>
      <c r="N252" s="142">
        <f t="shared" si="64"/>
        <v>120000</v>
      </c>
      <c r="O252" s="142">
        <f>15000*8</f>
        <v>120000</v>
      </c>
      <c r="P252" s="787" t="s">
        <v>279</v>
      </c>
      <c r="Q252" s="787"/>
    </row>
    <row r="253" spans="1:17" ht="15.75" thickBot="1">
      <c r="A253" s="654" t="s">
        <v>281</v>
      </c>
      <c r="B253" s="655"/>
      <c r="C253" s="655"/>
      <c r="D253" s="62">
        <f t="shared" ref="D253:O253" si="65">SUM(D251:D252)</f>
        <v>386000</v>
      </c>
      <c r="E253" s="62">
        <f t="shared" si="65"/>
        <v>386000</v>
      </c>
      <c r="F253" s="62">
        <f t="shared" si="65"/>
        <v>386000</v>
      </c>
      <c r="G253" s="62">
        <f t="shared" si="65"/>
        <v>386000</v>
      </c>
      <c r="H253" s="62">
        <f t="shared" si="65"/>
        <v>410000</v>
      </c>
      <c r="I253" s="62">
        <f t="shared" si="65"/>
        <v>410000</v>
      </c>
      <c r="J253" s="62">
        <f t="shared" si="65"/>
        <v>410000</v>
      </c>
      <c r="K253" s="62">
        <f t="shared" si="65"/>
        <v>410000</v>
      </c>
      <c r="L253" s="62">
        <f t="shared" si="65"/>
        <v>410000</v>
      </c>
      <c r="M253" s="62">
        <f t="shared" si="65"/>
        <v>410000</v>
      </c>
      <c r="N253" s="62">
        <f t="shared" si="65"/>
        <v>410000</v>
      </c>
      <c r="O253" s="62">
        <f t="shared" si="65"/>
        <v>410000</v>
      </c>
      <c r="P253" s="788"/>
      <c r="Q253" s="789"/>
    </row>
    <row r="254" spans="1:17" ht="15.75" thickBot="1"/>
    <row r="255" spans="1:17">
      <c r="A255" s="663" t="s">
        <v>284</v>
      </c>
      <c r="B255" s="664"/>
      <c r="C255" s="664"/>
      <c r="D255" s="664"/>
      <c r="E255" s="664"/>
      <c r="F255" s="664"/>
      <c r="G255" s="664"/>
      <c r="H255" s="664"/>
      <c r="I255" s="664"/>
      <c r="J255" s="664"/>
      <c r="K255" s="664"/>
      <c r="L255" s="664"/>
      <c r="M255" s="664"/>
      <c r="N255" s="664"/>
      <c r="O255" s="664"/>
      <c r="P255" s="664"/>
      <c r="Q255" s="665"/>
    </row>
    <row r="256" spans="1:17" ht="15" customHeight="1">
      <c r="A256" s="666"/>
      <c r="B256" s="667"/>
      <c r="C256" s="667"/>
      <c r="D256" s="667"/>
      <c r="E256" s="667"/>
      <c r="F256" s="667"/>
      <c r="G256" s="667"/>
      <c r="H256" s="667"/>
      <c r="I256" s="667"/>
      <c r="J256" s="667"/>
      <c r="K256" s="667"/>
      <c r="L256" s="667"/>
      <c r="M256" s="667"/>
      <c r="N256" s="667"/>
      <c r="O256" s="667"/>
      <c r="P256" s="667"/>
      <c r="Q256" s="668"/>
    </row>
    <row r="257" spans="1:17">
      <c r="A257" s="658" t="s">
        <v>31</v>
      </c>
      <c r="B257" s="659"/>
      <c r="C257" s="659"/>
      <c r="D257" s="134" t="s">
        <v>0</v>
      </c>
      <c r="E257" s="134" t="s">
        <v>1</v>
      </c>
      <c r="F257" s="134" t="s">
        <v>2</v>
      </c>
      <c r="G257" s="134" t="s">
        <v>3</v>
      </c>
      <c r="H257" s="134" t="s">
        <v>4</v>
      </c>
      <c r="I257" s="134" t="s">
        <v>5</v>
      </c>
      <c r="J257" s="134" t="s">
        <v>6</v>
      </c>
      <c r="K257" s="134" t="s">
        <v>7</v>
      </c>
      <c r="L257" s="134" t="s">
        <v>8</v>
      </c>
      <c r="M257" s="134" t="s">
        <v>168</v>
      </c>
      <c r="N257" s="134" t="s">
        <v>169</v>
      </c>
      <c r="O257" s="134" t="s">
        <v>170</v>
      </c>
      <c r="P257" s="669" t="s">
        <v>94</v>
      </c>
      <c r="Q257" s="670"/>
    </row>
    <row r="258" spans="1:17" ht="15" customHeight="1">
      <c r="A258" s="33"/>
      <c r="B258" s="2"/>
      <c r="C258" s="2"/>
      <c r="D258" s="685" t="s">
        <v>248</v>
      </c>
      <c r="E258" s="685"/>
      <c r="F258" s="685"/>
      <c r="G258" s="685"/>
      <c r="H258" s="685"/>
      <c r="I258" s="131" t="s">
        <v>249</v>
      </c>
      <c r="J258" s="686" t="s">
        <v>250</v>
      </c>
      <c r="K258" s="686"/>
      <c r="L258" s="686"/>
      <c r="M258" s="686"/>
      <c r="N258" s="687" t="s">
        <v>251</v>
      </c>
      <c r="O258" s="687"/>
      <c r="P258" s="829"/>
      <c r="Q258" s="830"/>
    </row>
    <row r="259" spans="1:17" ht="15" customHeight="1">
      <c r="A259" s="46"/>
      <c r="B259" s="36"/>
      <c r="C259" s="133" t="s">
        <v>361</v>
      </c>
      <c r="D259" s="142">
        <f>D272</f>
        <v>0</v>
      </c>
      <c r="E259" s="142">
        <f t="shared" ref="E259" si="66">E272</f>
        <v>0</v>
      </c>
      <c r="F259" s="383" t="s">
        <v>186</v>
      </c>
      <c r="G259" s="383" t="s">
        <v>186</v>
      </c>
      <c r="H259" s="383" t="s">
        <v>186</v>
      </c>
      <c r="I259" s="383" t="s">
        <v>186</v>
      </c>
      <c r="J259" s="383" t="s">
        <v>186</v>
      </c>
      <c r="K259" s="383" t="s">
        <v>186</v>
      </c>
      <c r="L259" s="383" t="s">
        <v>186</v>
      </c>
      <c r="M259" s="383" t="s">
        <v>186</v>
      </c>
      <c r="N259" s="383" t="s">
        <v>186</v>
      </c>
      <c r="O259" s="383" t="s">
        <v>186</v>
      </c>
      <c r="P259" s="787"/>
      <c r="Q259" s="783"/>
    </row>
    <row r="260" spans="1:17" s="28" customFormat="1" ht="15" customHeight="1">
      <c r="A260" s="46"/>
      <c r="B260" s="36"/>
      <c r="C260" s="133" t="s">
        <v>297</v>
      </c>
      <c r="D260" s="142">
        <f>D282/1.09</f>
        <v>618354.58715596329</v>
      </c>
      <c r="E260" s="142">
        <f t="shared" ref="E260" si="67">E282</f>
        <v>0</v>
      </c>
      <c r="F260" s="142">
        <f t="shared" ref="F260:O260" si="68">F282/1.09</f>
        <v>1225450.9174311925</v>
      </c>
      <c r="G260" s="142">
        <f t="shared" si="68"/>
        <v>1555024.3119266054</v>
      </c>
      <c r="H260" s="142">
        <f t="shared" si="68"/>
        <v>2052262.8440366972</v>
      </c>
      <c r="I260" s="142">
        <f t="shared" si="68"/>
        <v>2659359.1743119266</v>
      </c>
      <c r="J260" s="142">
        <f t="shared" si="68"/>
        <v>2879074.7706422014</v>
      </c>
      <c r="K260" s="142">
        <f t="shared" si="68"/>
        <v>3486171.1009174315</v>
      </c>
      <c r="L260" s="142">
        <f t="shared" si="68"/>
        <v>3705886.6972477064</v>
      </c>
      <c r="M260" s="142">
        <f t="shared" si="68"/>
        <v>4312983.0275229355</v>
      </c>
      <c r="N260" s="142">
        <f t="shared" si="68"/>
        <v>4810221.5596330268</v>
      </c>
      <c r="O260" s="142">
        <f t="shared" si="68"/>
        <v>5637033.4862385318</v>
      </c>
      <c r="P260" s="785"/>
      <c r="Q260" s="786"/>
    </row>
    <row r="261" spans="1:17" ht="15" customHeight="1">
      <c r="A261" s="46"/>
      <c r="B261" s="36"/>
      <c r="C261" s="133" t="s">
        <v>298</v>
      </c>
      <c r="D261" s="142">
        <f>D291</f>
        <v>0</v>
      </c>
      <c r="E261" s="142">
        <f t="shared" ref="E261" si="69">E291</f>
        <v>0</v>
      </c>
      <c r="F261" s="383" t="s">
        <v>186</v>
      </c>
      <c r="G261" s="383" t="s">
        <v>186</v>
      </c>
      <c r="H261" s="383" t="s">
        <v>186</v>
      </c>
      <c r="I261" s="383" t="s">
        <v>186</v>
      </c>
      <c r="J261" s="383" t="s">
        <v>186</v>
      </c>
      <c r="K261" s="383" t="s">
        <v>186</v>
      </c>
      <c r="L261" s="383" t="s">
        <v>186</v>
      </c>
      <c r="M261" s="383" t="s">
        <v>186</v>
      </c>
      <c r="N261" s="383" t="s">
        <v>186</v>
      </c>
      <c r="O261" s="383" t="s">
        <v>186</v>
      </c>
      <c r="P261" s="787"/>
      <c r="Q261" s="783"/>
    </row>
    <row r="262" spans="1:17" ht="15" customHeight="1" thickBot="1">
      <c r="A262" s="654" t="s">
        <v>285</v>
      </c>
      <c r="B262" s="655"/>
      <c r="C262" s="655"/>
      <c r="D262" s="62">
        <f>SUM(D259:D261)</f>
        <v>618354.58715596329</v>
      </c>
      <c r="E262" s="62">
        <f>D262</f>
        <v>618354.58715596329</v>
      </c>
      <c r="F262" s="62">
        <f t="shared" ref="F262:O262" si="70">SUM(F259:F261)</f>
        <v>1225450.9174311925</v>
      </c>
      <c r="G262" s="62">
        <f t="shared" si="70"/>
        <v>1555024.3119266054</v>
      </c>
      <c r="H262" s="62">
        <f t="shared" si="70"/>
        <v>2052262.8440366972</v>
      </c>
      <c r="I262" s="62">
        <f t="shared" si="70"/>
        <v>2659359.1743119266</v>
      </c>
      <c r="J262" s="62">
        <f t="shared" si="70"/>
        <v>2879074.7706422014</v>
      </c>
      <c r="K262" s="62">
        <f t="shared" si="70"/>
        <v>3486171.1009174315</v>
      </c>
      <c r="L262" s="62">
        <f t="shared" si="70"/>
        <v>3705886.6972477064</v>
      </c>
      <c r="M262" s="62">
        <f t="shared" si="70"/>
        <v>4312983.0275229355</v>
      </c>
      <c r="N262" s="62">
        <f t="shared" si="70"/>
        <v>4810221.5596330268</v>
      </c>
      <c r="O262" s="62">
        <f t="shared" si="70"/>
        <v>5637033.4862385318</v>
      </c>
      <c r="P262" s="788"/>
      <c r="Q262" s="789"/>
    </row>
    <row r="263" spans="1:17">
      <c r="A263" s="3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4"/>
    </row>
    <row r="264" spans="1:17">
      <c r="A264" s="33"/>
      <c r="B264" s="2"/>
      <c r="C264" s="144" t="s">
        <v>289</v>
      </c>
      <c r="D264" s="129" t="s">
        <v>0</v>
      </c>
      <c r="E264" s="129" t="s">
        <v>1</v>
      </c>
      <c r="F264" s="129" t="s">
        <v>2</v>
      </c>
      <c r="G264" s="129" t="s">
        <v>3</v>
      </c>
      <c r="H264" s="129" t="s">
        <v>4</v>
      </c>
      <c r="I264" s="129" t="s">
        <v>5</v>
      </c>
      <c r="J264" s="129" t="s">
        <v>6</v>
      </c>
      <c r="K264" s="129" t="s">
        <v>7</v>
      </c>
      <c r="L264" s="129" t="s">
        <v>8</v>
      </c>
      <c r="M264" s="129" t="s">
        <v>168</v>
      </c>
      <c r="N264" s="129" t="s">
        <v>169</v>
      </c>
      <c r="O264" s="129" t="s">
        <v>170</v>
      </c>
      <c r="P264" s="693" t="s">
        <v>94</v>
      </c>
      <c r="Q264" s="694"/>
    </row>
    <row r="265" spans="1:17">
      <c r="A265" s="33"/>
      <c r="B265" s="2"/>
      <c r="C265" s="14" t="s">
        <v>286</v>
      </c>
      <c r="D265" s="126">
        <v>0</v>
      </c>
      <c r="E265" s="126">
        <v>0</v>
      </c>
      <c r="F265" s="126">
        <v>4</v>
      </c>
      <c r="G265" s="126">
        <v>6</v>
      </c>
      <c r="H265" s="126">
        <v>8</v>
      </c>
      <c r="I265" s="126">
        <v>10</v>
      </c>
      <c r="J265" s="126">
        <v>13</v>
      </c>
      <c r="K265" s="126">
        <v>15</v>
      </c>
      <c r="L265" s="126">
        <v>17</v>
      </c>
      <c r="M265" s="126">
        <v>19</v>
      </c>
      <c r="N265" s="126">
        <v>21</v>
      </c>
      <c r="O265" s="126">
        <v>25</v>
      </c>
      <c r="P265" s="29" t="s">
        <v>291</v>
      </c>
      <c r="Q265" s="147"/>
    </row>
    <row r="266" spans="1:17">
      <c r="A266" s="33"/>
      <c r="B266" s="2"/>
      <c r="C266" s="14" t="s">
        <v>287</v>
      </c>
      <c r="D266" s="126">
        <v>0</v>
      </c>
      <c r="E266" s="126">
        <v>0</v>
      </c>
      <c r="F266" s="126">
        <v>3</v>
      </c>
      <c r="G266" s="126">
        <v>4</v>
      </c>
      <c r="H266" s="126">
        <v>5</v>
      </c>
      <c r="I266" s="126">
        <v>7</v>
      </c>
      <c r="J266" s="126">
        <v>8</v>
      </c>
      <c r="K266" s="126">
        <v>9</v>
      </c>
      <c r="L266" s="126">
        <v>10</v>
      </c>
      <c r="M266" s="126">
        <v>12</v>
      </c>
      <c r="N266" s="126">
        <v>13</v>
      </c>
      <c r="O266" s="126">
        <v>15</v>
      </c>
      <c r="P266" s="29" t="s">
        <v>291</v>
      </c>
      <c r="Q266" s="147"/>
    </row>
    <row r="267" spans="1:17" ht="16.5" customHeight="1">
      <c r="A267" s="33"/>
      <c r="B267" s="2"/>
      <c r="C267" s="14" t="s">
        <v>288</v>
      </c>
      <c r="D267" s="126">
        <v>0</v>
      </c>
      <c r="E267" s="126">
        <v>0</v>
      </c>
      <c r="F267" s="126">
        <v>1</v>
      </c>
      <c r="G267" s="126">
        <v>1</v>
      </c>
      <c r="H267" s="126">
        <v>1</v>
      </c>
      <c r="I267" s="126">
        <v>1</v>
      </c>
      <c r="J267" s="126">
        <v>1</v>
      </c>
      <c r="K267" s="126">
        <v>1</v>
      </c>
      <c r="L267" s="126">
        <v>1</v>
      </c>
      <c r="M267" s="126">
        <v>1</v>
      </c>
      <c r="N267" s="126">
        <v>1</v>
      </c>
      <c r="O267" s="126">
        <v>1</v>
      </c>
      <c r="P267" s="29" t="s">
        <v>291</v>
      </c>
      <c r="Q267" s="147"/>
    </row>
    <row r="268" spans="1:17" ht="15.75">
      <c r="A268" s="33"/>
      <c r="B268" s="2"/>
      <c r="C268" s="14" t="s">
        <v>299</v>
      </c>
      <c r="D268" s="2"/>
      <c r="E268" s="143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34"/>
    </row>
    <row r="269" spans="1:17">
      <c r="A269" s="33"/>
      <c r="B269" s="2"/>
      <c r="C269" s="14" t="s">
        <v>286</v>
      </c>
      <c r="D269" s="11">
        <f t="shared" ref="D269:O269" si="71">$D$293*D265</f>
        <v>0</v>
      </c>
      <c r="E269" s="11">
        <f t="shared" si="71"/>
        <v>0</v>
      </c>
      <c r="F269" s="11">
        <f t="shared" si="71"/>
        <v>478980.00000000006</v>
      </c>
      <c r="G269" s="11">
        <f t="shared" si="71"/>
        <v>718470.00000000012</v>
      </c>
      <c r="H269" s="11">
        <f t="shared" si="71"/>
        <v>957960.00000000012</v>
      </c>
      <c r="I269" s="11">
        <f t="shared" si="71"/>
        <v>1197450.0000000002</v>
      </c>
      <c r="J269" s="11">
        <f t="shared" si="71"/>
        <v>1556685.0000000002</v>
      </c>
      <c r="K269" s="11">
        <f t="shared" si="71"/>
        <v>1796175.0000000002</v>
      </c>
      <c r="L269" s="11">
        <f t="shared" si="71"/>
        <v>2035665.0000000002</v>
      </c>
      <c r="M269" s="11">
        <f t="shared" si="71"/>
        <v>2275155.0000000005</v>
      </c>
      <c r="N269" s="11">
        <f t="shared" si="71"/>
        <v>2514645.0000000005</v>
      </c>
      <c r="O269" s="11">
        <f t="shared" si="71"/>
        <v>2993625.0000000005</v>
      </c>
      <c r="P269" s="2"/>
      <c r="Q269" s="34"/>
    </row>
    <row r="270" spans="1:17">
      <c r="A270" s="33"/>
      <c r="B270" s="2"/>
      <c r="C270" s="14" t="s">
        <v>287</v>
      </c>
      <c r="D270" s="11">
        <f t="shared" ref="D270:O270" si="72">$D$294*D266</f>
        <v>0</v>
      </c>
      <c r="E270" s="11">
        <f t="shared" si="72"/>
        <v>0</v>
      </c>
      <c r="F270" s="11">
        <f t="shared" si="72"/>
        <v>396049.5</v>
      </c>
      <c r="G270" s="11">
        <f t="shared" si="72"/>
        <v>528066</v>
      </c>
      <c r="H270" s="11">
        <f t="shared" si="72"/>
        <v>660082.5</v>
      </c>
      <c r="I270" s="11">
        <f t="shared" si="72"/>
        <v>924115.5</v>
      </c>
      <c r="J270" s="11">
        <f t="shared" si="72"/>
        <v>1056132</v>
      </c>
      <c r="K270" s="11">
        <f t="shared" si="72"/>
        <v>1188148.5</v>
      </c>
      <c r="L270" s="11">
        <f t="shared" si="72"/>
        <v>1320165</v>
      </c>
      <c r="M270" s="11">
        <f t="shared" si="72"/>
        <v>1584198</v>
      </c>
      <c r="N270" s="11">
        <f t="shared" si="72"/>
        <v>1716214.5</v>
      </c>
      <c r="O270" s="11">
        <f t="shared" si="72"/>
        <v>1980247.5</v>
      </c>
      <c r="P270" s="2"/>
      <c r="Q270" s="34"/>
    </row>
    <row r="271" spans="1:17">
      <c r="A271" s="33"/>
      <c r="B271" s="2"/>
      <c r="C271" s="14" t="s">
        <v>288</v>
      </c>
      <c r="D271" s="11">
        <f t="shared" ref="D271:O271" si="73">$D$295*D267</f>
        <v>0</v>
      </c>
      <c r="E271" s="11">
        <f t="shared" si="73"/>
        <v>0</v>
      </c>
      <c r="F271" s="11">
        <f t="shared" si="73"/>
        <v>302500</v>
      </c>
      <c r="G271" s="11">
        <f t="shared" si="73"/>
        <v>302500</v>
      </c>
      <c r="H271" s="11">
        <f t="shared" si="73"/>
        <v>302500</v>
      </c>
      <c r="I271" s="11">
        <f t="shared" si="73"/>
        <v>302500</v>
      </c>
      <c r="J271" s="11">
        <f t="shared" si="73"/>
        <v>302500</v>
      </c>
      <c r="K271" s="11">
        <f t="shared" si="73"/>
        <v>302500</v>
      </c>
      <c r="L271" s="11">
        <f t="shared" si="73"/>
        <v>302500</v>
      </c>
      <c r="M271" s="11">
        <f t="shared" si="73"/>
        <v>302500</v>
      </c>
      <c r="N271" s="11">
        <f t="shared" si="73"/>
        <v>302500</v>
      </c>
      <c r="O271" s="11">
        <f t="shared" si="73"/>
        <v>302500</v>
      </c>
      <c r="P271" s="2"/>
      <c r="Q271" s="34"/>
    </row>
    <row r="272" spans="1:17">
      <c r="A272" s="33"/>
      <c r="B272" s="2"/>
      <c r="C272" s="14" t="s">
        <v>99</v>
      </c>
      <c r="D272" s="11">
        <f>SUM(D269:D271)</f>
        <v>0</v>
      </c>
      <c r="E272" s="11">
        <f t="shared" ref="E272:O272" si="74">SUM(E269:E271)</f>
        <v>0</v>
      </c>
      <c r="F272" s="11">
        <f t="shared" si="74"/>
        <v>1177529.5</v>
      </c>
      <c r="G272" s="11">
        <f t="shared" si="74"/>
        <v>1549036</v>
      </c>
      <c r="H272" s="11">
        <f t="shared" si="74"/>
        <v>1920542.5</v>
      </c>
      <c r="I272" s="11">
        <f t="shared" si="74"/>
        <v>2424065.5</v>
      </c>
      <c r="J272" s="11">
        <f t="shared" si="74"/>
        <v>2915317</v>
      </c>
      <c r="K272" s="11">
        <f t="shared" si="74"/>
        <v>3286823.5</v>
      </c>
      <c r="L272" s="11">
        <f t="shared" si="74"/>
        <v>3658330</v>
      </c>
      <c r="M272" s="11">
        <f t="shared" si="74"/>
        <v>4161853.0000000005</v>
      </c>
      <c r="N272" s="11">
        <f t="shared" si="74"/>
        <v>4533359.5</v>
      </c>
      <c r="O272" s="11">
        <f t="shared" si="74"/>
        <v>5276372.5</v>
      </c>
      <c r="P272" s="2"/>
      <c r="Q272" s="34"/>
    </row>
    <row r="273" spans="1:17">
      <c r="A273" s="3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4"/>
    </row>
    <row r="274" spans="1:17">
      <c r="A274" s="33"/>
      <c r="B274" s="2"/>
      <c r="C274" s="145" t="s">
        <v>290</v>
      </c>
      <c r="D274" s="129" t="s">
        <v>0</v>
      </c>
      <c r="E274" s="129" t="s">
        <v>1</v>
      </c>
      <c r="F274" s="129" t="s">
        <v>2</v>
      </c>
      <c r="G274" s="129" t="s">
        <v>3</v>
      </c>
      <c r="H274" s="129" t="s">
        <v>4</v>
      </c>
      <c r="I274" s="129" t="s">
        <v>5</v>
      </c>
      <c r="J274" s="129" t="s">
        <v>6</v>
      </c>
      <c r="K274" s="129" t="s">
        <v>7</v>
      </c>
      <c r="L274" s="129" t="s">
        <v>8</v>
      </c>
      <c r="M274" s="129" t="s">
        <v>168</v>
      </c>
      <c r="N274" s="129" t="s">
        <v>169</v>
      </c>
      <c r="O274" s="129" t="s">
        <v>170</v>
      </c>
      <c r="P274" s="693" t="s">
        <v>94</v>
      </c>
      <c r="Q274" s="694"/>
    </row>
    <row r="275" spans="1:17">
      <c r="A275" s="33"/>
      <c r="B275" s="2"/>
      <c r="C275" s="14" t="s">
        <v>286</v>
      </c>
      <c r="D275" s="126">
        <v>2</v>
      </c>
      <c r="E275" s="126">
        <v>0</v>
      </c>
      <c r="F275" s="126">
        <v>5</v>
      </c>
      <c r="G275" s="126">
        <v>8</v>
      </c>
      <c r="H275" s="126">
        <v>10</v>
      </c>
      <c r="I275" s="126">
        <v>13</v>
      </c>
      <c r="J275" s="126">
        <v>15</v>
      </c>
      <c r="K275" s="126">
        <v>18</v>
      </c>
      <c r="L275" s="126">
        <v>20</v>
      </c>
      <c r="M275" s="126">
        <v>23</v>
      </c>
      <c r="N275" s="126">
        <v>25</v>
      </c>
      <c r="O275" s="126">
        <v>30</v>
      </c>
      <c r="P275" s="29" t="s">
        <v>292</v>
      </c>
      <c r="Q275" s="147"/>
    </row>
    <row r="276" spans="1:17">
      <c r="A276" s="33"/>
      <c r="B276" s="2"/>
      <c r="C276" s="14" t="s">
        <v>288</v>
      </c>
      <c r="D276" s="126">
        <v>1</v>
      </c>
      <c r="E276" s="126">
        <v>0</v>
      </c>
      <c r="F276" s="126">
        <v>1</v>
      </c>
      <c r="G276" s="126">
        <v>1</v>
      </c>
      <c r="H276" s="126">
        <v>1</v>
      </c>
      <c r="I276" s="126">
        <v>1</v>
      </c>
      <c r="J276" s="126">
        <v>1</v>
      </c>
      <c r="K276" s="126">
        <v>1</v>
      </c>
      <c r="L276" s="126">
        <v>1</v>
      </c>
      <c r="M276" s="126">
        <v>1</v>
      </c>
      <c r="N276" s="126">
        <v>1</v>
      </c>
      <c r="O276" s="126">
        <v>1</v>
      </c>
      <c r="P276" s="29" t="s">
        <v>292</v>
      </c>
      <c r="Q276" s="147"/>
    </row>
    <row r="277" spans="1:17">
      <c r="A277" s="33"/>
      <c r="B277" s="2"/>
      <c r="C277" s="14" t="s">
        <v>293</v>
      </c>
      <c r="D277" s="126">
        <v>1</v>
      </c>
      <c r="E277" s="126">
        <v>0</v>
      </c>
      <c r="F277" s="126">
        <v>2</v>
      </c>
      <c r="G277" s="126">
        <v>2</v>
      </c>
      <c r="H277" s="126">
        <v>3</v>
      </c>
      <c r="I277" s="126">
        <v>4</v>
      </c>
      <c r="J277" s="126">
        <v>4</v>
      </c>
      <c r="K277" s="126">
        <v>5</v>
      </c>
      <c r="L277" s="126">
        <v>5</v>
      </c>
      <c r="M277" s="126">
        <v>6</v>
      </c>
      <c r="N277" s="126">
        <v>7</v>
      </c>
      <c r="O277" s="126">
        <v>8</v>
      </c>
      <c r="P277" s="29" t="s">
        <v>292</v>
      </c>
      <c r="Q277" s="147"/>
    </row>
    <row r="278" spans="1:17" ht="15.75">
      <c r="A278" s="33"/>
      <c r="B278" s="2"/>
      <c r="C278" s="14" t="s">
        <v>299</v>
      </c>
      <c r="D278" s="2"/>
      <c r="E278" s="143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34"/>
    </row>
    <row r="279" spans="1:17">
      <c r="A279" s="33"/>
      <c r="B279" s="2"/>
      <c r="C279" s="14" t="s">
        <v>286</v>
      </c>
      <c r="D279" s="11">
        <f t="shared" ref="D279:O279" si="75">$D$293*D275</f>
        <v>239490.00000000003</v>
      </c>
      <c r="E279" s="11">
        <f t="shared" si="75"/>
        <v>0</v>
      </c>
      <c r="F279" s="11">
        <f t="shared" si="75"/>
        <v>598725.00000000012</v>
      </c>
      <c r="G279" s="11">
        <f t="shared" si="75"/>
        <v>957960.00000000012</v>
      </c>
      <c r="H279" s="11">
        <f t="shared" si="75"/>
        <v>1197450.0000000002</v>
      </c>
      <c r="I279" s="11">
        <f t="shared" si="75"/>
        <v>1556685.0000000002</v>
      </c>
      <c r="J279" s="11">
        <f t="shared" si="75"/>
        <v>1796175.0000000002</v>
      </c>
      <c r="K279" s="11">
        <f t="shared" si="75"/>
        <v>2155410.0000000005</v>
      </c>
      <c r="L279" s="11">
        <f t="shared" si="75"/>
        <v>2394900.0000000005</v>
      </c>
      <c r="M279" s="11">
        <f t="shared" si="75"/>
        <v>2754135.0000000005</v>
      </c>
      <c r="N279" s="11">
        <f t="shared" si="75"/>
        <v>2993625.0000000005</v>
      </c>
      <c r="O279" s="11">
        <f t="shared" si="75"/>
        <v>3592350.0000000005</v>
      </c>
      <c r="P279" s="2"/>
      <c r="Q279" s="34"/>
    </row>
    <row r="280" spans="1:17">
      <c r="A280" s="33"/>
      <c r="B280" s="2"/>
      <c r="C280" s="14" t="s">
        <v>287</v>
      </c>
      <c r="D280" s="11">
        <f t="shared" ref="D280:O280" si="76">$D$294*D276</f>
        <v>132016.5</v>
      </c>
      <c r="E280" s="11">
        <f t="shared" si="76"/>
        <v>0</v>
      </c>
      <c r="F280" s="11">
        <f t="shared" si="76"/>
        <v>132016.5</v>
      </c>
      <c r="G280" s="11">
        <f t="shared" si="76"/>
        <v>132016.5</v>
      </c>
      <c r="H280" s="11">
        <f t="shared" si="76"/>
        <v>132016.5</v>
      </c>
      <c r="I280" s="11">
        <f t="shared" si="76"/>
        <v>132016.5</v>
      </c>
      <c r="J280" s="11">
        <f t="shared" si="76"/>
        <v>132016.5</v>
      </c>
      <c r="K280" s="11">
        <f t="shared" si="76"/>
        <v>132016.5</v>
      </c>
      <c r="L280" s="11">
        <f t="shared" si="76"/>
        <v>132016.5</v>
      </c>
      <c r="M280" s="11">
        <f t="shared" si="76"/>
        <v>132016.5</v>
      </c>
      <c r="N280" s="11">
        <f t="shared" si="76"/>
        <v>132016.5</v>
      </c>
      <c r="O280" s="11">
        <f t="shared" si="76"/>
        <v>132016.5</v>
      </c>
      <c r="P280" s="2"/>
      <c r="Q280" s="34"/>
    </row>
    <row r="281" spans="1:17">
      <c r="A281" s="33"/>
      <c r="B281" s="2"/>
      <c r="C281" s="14" t="s">
        <v>288</v>
      </c>
      <c r="D281" s="11">
        <f t="shared" ref="D281:O281" si="77">$D$295*D277</f>
        <v>302500</v>
      </c>
      <c r="E281" s="11">
        <f t="shared" si="77"/>
        <v>0</v>
      </c>
      <c r="F281" s="11">
        <f t="shared" si="77"/>
        <v>605000</v>
      </c>
      <c r="G281" s="11">
        <f t="shared" si="77"/>
        <v>605000</v>
      </c>
      <c r="H281" s="11">
        <f t="shared" si="77"/>
        <v>907500</v>
      </c>
      <c r="I281" s="11">
        <f t="shared" si="77"/>
        <v>1210000</v>
      </c>
      <c r="J281" s="11">
        <f t="shared" si="77"/>
        <v>1210000</v>
      </c>
      <c r="K281" s="11">
        <f t="shared" si="77"/>
        <v>1512500</v>
      </c>
      <c r="L281" s="11">
        <f t="shared" si="77"/>
        <v>1512500</v>
      </c>
      <c r="M281" s="11">
        <f t="shared" si="77"/>
        <v>1815000</v>
      </c>
      <c r="N281" s="11">
        <f t="shared" si="77"/>
        <v>2117500</v>
      </c>
      <c r="O281" s="11">
        <f t="shared" si="77"/>
        <v>2420000</v>
      </c>
      <c r="P281" s="2"/>
      <c r="Q281" s="34"/>
    </row>
    <row r="282" spans="1:17">
      <c r="A282" s="33"/>
      <c r="B282" s="2"/>
      <c r="C282" s="14" t="s">
        <v>99</v>
      </c>
      <c r="D282" s="146">
        <f>SUM(D279:D281)</f>
        <v>674006.5</v>
      </c>
      <c r="E282" s="146">
        <f t="shared" ref="E282" si="78">SUM(E279:E281)</f>
        <v>0</v>
      </c>
      <c r="F282" s="146">
        <f t="shared" ref="F282" si="79">SUM(F279:F281)</f>
        <v>1335741.5</v>
      </c>
      <c r="G282" s="146">
        <f t="shared" ref="G282" si="80">SUM(G279:G281)</f>
        <v>1694976.5</v>
      </c>
      <c r="H282" s="146">
        <f t="shared" ref="H282" si="81">SUM(H279:H281)</f>
        <v>2236966.5</v>
      </c>
      <c r="I282" s="146">
        <f t="shared" ref="I282" si="82">SUM(I279:I281)</f>
        <v>2898701.5</v>
      </c>
      <c r="J282" s="146">
        <f t="shared" ref="J282" si="83">SUM(J279:J281)</f>
        <v>3138191.5</v>
      </c>
      <c r="K282" s="146">
        <f t="shared" ref="K282" si="84">SUM(K279:K281)</f>
        <v>3799926.5000000005</v>
      </c>
      <c r="L282" s="146">
        <f t="shared" ref="L282" si="85">SUM(L279:L281)</f>
        <v>4039416.5000000005</v>
      </c>
      <c r="M282" s="146">
        <f t="shared" ref="M282" si="86">SUM(M279:M281)</f>
        <v>4701151.5</v>
      </c>
      <c r="N282" s="146">
        <f t="shared" ref="N282" si="87">SUM(N279:N281)</f>
        <v>5243141.5</v>
      </c>
      <c r="O282" s="146">
        <f t="shared" ref="O282" si="88">SUM(O279:O281)</f>
        <v>6144366.5</v>
      </c>
      <c r="P282" s="2"/>
      <c r="Q282" s="34"/>
    </row>
    <row r="283" spans="1:17">
      <c r="A283" s="3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4"/>
    </row>
    <row r="284" spans="1:17">
      <c r="A284" s="3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4"/>
    </row>
    <row r="285" spans="1:17">
      <c r="A285" s="33"/>
      <c r="B285" s="2"/>
      <c r="C285" s="145" t="s">
        <v>294</v>
      </c>
      <c r="D285" s="129" t="s">
        <v>0</v>
      </c>
      <c r="E285" s="129" t="s">
        <v>1</v>
      </c>
      <c r="F285" s="129" t="s">
        <v>2</v>
      </c>
      <c r="G285" s="129" t="s">
        <v>3</v>
      </c>
      <c r="H285" s="129" t="s">
        <v>4</v>
      </c>
      <c r="I285" s="129" t="s">
        <v>5</v>
      </c>
      <c r="J285" s="129" t="s">
        <v>6</v>
      </c>
      <c r="K285" s="129" t="s">
        <v>7</v>
      </c>
      <c r="L285" s="129" t="s">
        <v>8</v>
      </c>
      <c r="M285" s="129" t="s">
        <v>168</v>
      </c>
      <c r="N285" s="129" t="s">
        <v>169</v>
      </c>
      <c r="O285" s="129" t="s">
        <v>170</v>
      </c>
      <c r="P285" s="693" t="s">
        <v>94</v>
      </c>
      <c r="Q285" s="694"/>
    </row>
    <row r="286" spans="1:17">
      <c r="A286" s="33"/>
      <c r="B286" s="2"/>
      <c r="C286" s="14" t="s">
        <v>295</v>
      </c>
      <c r="D286" s="126">
        <v>0</v>
      </c>
      <c r="E286" s="126">
        <v>0</v>
      </c>
      <c r="F286" s="126">
        <v>2</v>
      </c>
      <c r="G286" s="126">
        <v>3</v>
      </c>
      <c r="H286" s="126">
        <v>3</v>
      </c>
      <c r="I286" s="126">
        <v>4</v>
      </c>
      <c r="J286" s="126">
        <v>4</v>
      </c>
      <c r="K286" s="126">
        <v>5</v>
      </c>
      <c r="L286" s="126">
        <v>5</v>
      </c>
      <c r="M286" s="126">
        <v>5</v>
      </c>
      <c r="N286" s="126">
        <v>8</v>
      </c>
      <c r="O286" s="126">
        <v>8</v>
      </c>
      <c r="P286" s="29" t="s">
        <v>296</v>
      </c>
      <c r="Q286" s="147"/>
    </row>
    <row r="287" spans="1:17">
      <c r="A287" s="33"/>
      <c r="B287" s="2"/>
      <c r="C287" s="14" t="s">
        <v>288</v>
      </c>
      <c r="D287" s="126">
        <v>0</v>
      </c>
      <c r="E287" s="126">
        <v>0</v>
      </c>
      <c r="F287" s="126">
        <v>1</v>
      </c>
      <c r="G287" s="126">
        <v>1</v>
      </c>
      <c r="H287" s="126">
        <v>1</v>
      </c>
      <c r="I287" s="126">
        <v>1</v>
      </c>
      <c r="J287" s="126">
        <v>1</v>
      </c>
      <c r="K287" s="126">
        <v>1</v>
      </c>
      <c r="L287" s="126">
        <v>1</v>
      </c>
      <c r="M287" s="126">
        <v>1</v>
      </c>
      <c r="N287" s="126">
        <v>1</v>
      </c>
      <c r="O287" s="126">
        <v>1</v>
      </c>
      <c r="P287" s="29" t="s">
        <v>296</v>
      </c>
      <c r="Q287" s="147"/>
    </row>
    <row r="288" spans="1:17" ht="15.75">
      <c r="A288" s="33"/>
      <c r="B288" s="2"/>
      <c r="C288" s="14" t="s">
        <v>299</v>
      </c>
      <c r="D288" s="2"/>
      <c r="E288" s="143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4"/>
    </row>
    <row r="289" spans="1:17">
      <c r="A289" s="33"/>
      <c r="B289" s="2"/>
      <c r="C289" s="14" t="s">
        <v>295</v>
      </c>
      <c r="D289" s="11">
        <f>$D$293*D286</f>
        <v>0</v>
      </c>
      <c r="E289" s="11">
        <f t="shared" ref="E289:O289" si="89">$D$293*E286</f>
        <v>0</v>
      </c>
      <c r="F289" s="11">
        <f t="shared" si="89"/>
        <v>239490.00000000003</v>
      </c>
      <c r="G289" s="11">
        <f t="shared" si="89"/>
        <v>359235.00000000006</v>
      </c>
      <c r="H289" s="11">
        <f t="shared" si="89"/>
        <v>359235.00000000006</v>
      </c>
      <c r="I289" s="11">
        <f t="shared" si="89"/>
        <v>478980.00000000006</v>
      </c>
      <c r="J289" s="11">
        <f t="shared" si="89"/>
        <v>478980.00000000006</v>
      </c>
      <c r="K289" s="11">
        <f t="shared" si="89"/>
        <v>598725.00000000012</v>
      </c>
      <c r="L289" s="11">
        <f t="shared" si="89"/>
        <v>598725.00000000012</v>
      </c>
      <c r="M289" s="11">
        <f t="shared" si="89"/>
        <v>598725.00000000012</v>
      </c>
      <c r="N289" s="11">
        <f t="shared" si="89"/>
        <v>957960.00000000012</v>
      </c>
      <c r="O289" s="11">
        <f t="shared" si="89"/>
        <v>957960.00000000012</v>
      </c>
      <c r="P289" s="2"/>
      <c r="Q289" s="34"/>
    </row>
    <row r="290" spans="1:17">
      <c r="A290" s="33"/>
      <c r="B290" s="2"/>
      <c r="C290" s="14" t="s">
        <v>288</v>
      </c>
      <c r="D290" s="11">
        <f>$D$295*D287</f>
        <v>0</v>
      </c>
      <c r="E290" s="11">
        <f t="shared" ref="E290:O290" si="90">$D$295*E287</f>
        <v>0</v>
      </c>
      <c r="F290" s="11">
        <f t="shared" si="90"/>
        <v>302500</v>
      </c>
      <c r="G290" s="11">
        <f t="shared" si="90"/>
        <v>302500</v>
      </c>
      <c r="H290" s="11">
        <f t="shared" si="90"/>
        <v>302500</v>
      </c>
      <c r="I290" s="11">
        <f t="shared" si="90"/>
        <v>302500</v>
      </c>
      <c r="J290" s="11">
        <f t="shared" si="90"/>
        <v>302500</v>
      </c>
      <c r="K290" s="11">
        <f t="shared" si="90"/>
        <v>302500</v>
      </c>
      <c r="L290" s="11">
        <f t="shared" si="90"/>
        <v>302500</v>
      </c>
      <c r="M290" s="11">
        <f t="shared" si="90"/>
        <v>302500</v>
      </c>
      <c r="N290" s="11">
        <f t="shared" si="90"/>
        <v>302500</v>
      </c>
      <c r="O290" s="11">
        <f t="shared" si="90"/>
        <v>302500</v>
      </c>
      <c r="P290" s="2"/>
      <c r="Q290" s="34"/>
    </row>
    <row r="291" spans="1:17">
      <c r="A291" s="33"/>
      <c r="B291" s="2"/>
      <c r="C291" s="14" t="s">
        <v>99</v>
      </c>
      <c r="D291" s="146">
        <f t="shared" ref="D291:O291" si="91">SUM(D289:D290)</f>
        <v>0</v>
      </c>
      <c r="E291" s="146">
        <f t="shared" si="91"/>
        <v>0</v>
      </c>
      <c r="F291" s="146">
        <f t="shared" si="91"/>
        <v>541990</v>
      </c>
      <c r="G291" s="146">
        <f t="shared" si="91"/>
        <v>661735</v>
      </c>
      <c r="H291" s="146">
        <f t="shared" si="91"/>
        <v>661735</v>
      </c>
      <c r="I291" s="146">
        <f t="shared" si="91"/>
        <v>781480</v>
      </c>
      <c r="J291" s="146">
        <f t="shared" si="91"/>
        <v>781480</v>
      </c>
      <c r="K291" s="146">
        <f t="shared" si="91"/>
        <v>901225.00000000012</v>
      </c>
      <c r="L291" s="146">
        <f t="shared" si="91"/>
        <v>901225.00000000012</v>
      </c>
      <c r="M291" s="146">
        <f t="shared" si="91"/>
        <v>901225.00000000012</v>
      </c>
      <c r="N291" s="146">
        <f t="shared" si="91"/>
        <v>1260460</v>
      </c>
      <c r="O291" s="146">
        <f t="shared" si="91"/>
        <v>1260460</v>
      </c>
      <c r="P291" s="2"/>
      <c r="Q291" s="34"/>
    </row>
    <row r="292" spans="1:17">
      <c r="A292" s="3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4"/>
    </row>
    <row r="293" spans="1:17">
      <c r="A293" s="33"/>
      <c r="B293" s="2"/>
      <c r="C293" s="1" t="s">
        <v>286</v>
      </c>
      <c r="D293" s="17">
        <f>44350*2.7</f>
        <v>119745.00000000001</v>
      </c>
      <c r="E293" s="2" t="s">
        <v>359</v>
      </c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4"/>
    </row>
    <row r="294" spans="1:17">
      <c r="A294" s="33"/>
      <c r="B294" s="2"/>
      <c r="C294" s="1" t="s">
        <v>287</v>
      </c>
      <c r="D294" s="17">
        <f>48895*2.7</f>
        <v>132016.5</v>
      </c>
      <c r="E294" s="2" t="s">
        <v>360</v>
      </c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4"/>
    </row>
    <row r="295" spans="1:17">
      <c r="A295" s="33"/>
      <c r="B295" s="2"/>
      <c r="C295" s="1" t="s">
        <v>288</v>
      </c>
      <c r="D295" s="17">
        <v>302500</v>
      </c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4"/>
    </row>
    <row r="296" spans="1:17" ht="15.75" thickBot="1">
      <c r="A296" s="148"/>
      <c r="B296" s="149"/>
      <c r="C296" s="8" t="s">
        <v>293</v>
      </c>
      <c r="D296" s="17">
        <f>62500*15.2</f>
        <v>950000</v>
      </c>
      <c r="E296" s="149"/>
      <c r="F296" s="149"/>
      <c r="G296" s="149"/>
      <c r="H296" s="149"/>
      <c r="I296" s="149"/>
      <c r="J296" s="149"/>
      <c r="K296" s="149"/>
      <c r="L296" s="149"/>
      <c r="M296" s="149"/>
      <c r="N296" s="149"/>
      <c r="O296" s="149"/>
      <c r="P296" s="149"/>
      <c r="Q296" s="150"/>
    </row>
    <row r="297" spans="1:17" ht="15.75" thickBot="1"/>
    <row r="298" spans="1:17" ht="15" customHeight="1">
      <c r="A298" s="663" t="s">
        <v>301</v>
      </c>
      <c r="B298" s="664"/>
      <c r="C298" s="664"/>
      <c r="D298" s="664"/>
      <c r="E298" s="664"/>
      <c r="F298" s="664"/>
      <c r="G298" s="664"/>
      <c r="H298" s="664"/>
      <c r="I298" s="664"/>
      <c r="J298" s="664"/>
      <c r="K298" s="664"/>
      <c r="L298" s="664"/>
      <c r="M298" s="664"/>
      <c r="N298" s="665"/>
      <c r="O298" s="159"/>
      <c r="P298" s="159"/>
      <c r="Q298" s="159"/>
    </row>
    <row r="299" spans="1:17" ht="15" customHeight="1">
      <c r="A299" s="837"/>
      <c r="B299" s="675"/>
      <c r="C299" s="675"/>
      <c r="D299" s="675"/>
      <c r="E299" s="675"/>
      <c r="F299" s="675"/>
      <c r="G299" s="675"/>
      <c r="H299" s="675"/>
      <c r="I299" s="675"/>
      <c r="J299" s="675"/>
      <c r="K299" s="675"/>
      <c r="L299" s="675"/>
      <c r="M299" s="675"/>
      <c r="N299" s="676"/>
      <c r="O299" s="159"/>
      <c r="P299" s="159"/>
      <c r="Q299" s="159"/>
    </row>
    <row r="300" spans="1:17">
      <c r="A300" s="67"/>
      <c r="B300" s="31"/>
      <c r="C300" s="135"/>
      <c r="D300" s="129" t="s">
        <v>0</v>
      </c>
      <c r="E300" s="129" t="s">
        <v>1</v>
      </c>
      <c r="F300" s="129" t="s">
        <v>2</v>
      </c>
      <c r="G300" s="129" t="s">
        <v>3</v>
      </c>
      <c r="H300" s="129" t="s">
        <v>4</v>
      </c>
      <c r="I300" s="129" t="s">
        <v>5</v>
      </c>
      <c r="J300" s="129" t="s">
        <v>6</v>
      </c>
      <c r="K300" s="129" t="s">
        <v>7</v>
      </c>
      <c r="L300" s="129" t="s">
        <v>8</v>
      </c>
      <c r="M300" s="129" t="s">
        <v>168</v>
      </c>
      <c r="N300" s="130" t="s">
        <v>169</v>
      </c>
      <c r="O300" s="2"/>
      <c r="P300" s="2"/>
      <c r="Q300" s="2"/>
    </row>
    <row r="301" spans="1:17" ht="15.75" thickBot="1">
      <c r="A301" s="160"/>
      <c r="B301" s="161"/>
      <c r="C301" s="136" t="s">
        <v>300</v>
      </c>
      <c r="D301" s="162">
        <v>4217414.659291652</v>
      </c>
      <c r="E301" s="162">
        <v>4757429.6865158202</v>
      </c>
      <c r="F301" s="162">
        <v>7114743.1902305735</v>
      </c>
      <c r="G301" s="162">
        <v>12676205.139310943</v>
      </c>
      <c r="H301" s="162">
        <v>16440492.426507341</v>
      </c>
      <c r="I301" s="162">
        <v>22799763.735678777</v>
      </c>
      <c r="J301" s="162">
        <v>30051597.513303947</v>
      </c>
      <c r="K301" s="162">
        <v>65752096.686653003</v>
      </c>
      <c r="L301" s="162">
        <v>89628145.029979497</v>
      </c>
      <c r="M301" s="162"/>
      <c r="N301" s="163"/>
      <c r="O301" s="2"/>
      <c r="P301" s="2"/>
      <c r="Q301" s="2"/>
    </row>
    <row r="302" spans="1:17" ht="15.75" thickBot="1"/>
    <row r="303" spans="1:17" ht="18">
      <c r="C303" s="838" t="s">
        <v>309</v>
      </c>
      <c r="D303" s="839"/>
      <c r="E303" s="839"/>
      <c r="F303" s="839"/>
      <c r="G303" s="839"/>
      <c r="H303" s="839"/>
      <c r="I303" s="839"/>
      <c r="J303" s="839"/>
      <c r="K303" s="189"/>
      <c r="L303" s="190"/>
      <c r="M303" s="190"/>
      <c r="N303" s="191"/>
      <c r="O303" s="165"/>
    </row>
    <row r="304" spans="1:17">
      <c r="C304" s="180"/>
      <c r="D304" s="840" t="s">
        <v>302</v>
      </c>
      <c r="E304" s="841"/>
      <c r="F304" s="841"/>
      <c r="G304" s="841"/>
      <c r="H304" s="841"/>
      <c r="I304" s="841"/>
      <c r="J304" s="842"/>
      <c r="K304" s="192"/>
      <c r="L304" s="193"/>
      <c r="M304" s="193"/>
      <c r="N304" s="194"/>
      <c r="O304" s="28"/>
    </row>
    <row r="305" spans="3:14" ht="22.5">
      <c r="C305" s="181" t="s">
        <v>303</v>
      </c>
      <c r="D305" s="167">
        <v>2</v>
      </c>
      <c r="E305" s="167">
        <v>3</v>
      </c>
      <c r="F305" s="167">
        <v>4</v>
      </c>
      <c r="G305" s="167">
        <v>6</v>
      </c>
      <c r="H305" s="167">
        <v>8</v>
      </c>
      <c r="I305" s="167">
        <v>10</v>
      </c>
      <c r="J305" s="176">
        <v>12</v>
      </c>
      <c r="K305" s="166" t="s">
        <v>304</v>
      </c>
      <c r="L305" s="166" t="s">
        <v>305</v>
      </c>
      <c r="M305" s="166" t="s">
        <v>306</v>
      </c>
      <c r="N305" s="182" t="s">
        <v>307</v>
      </c>
    </row>
    <row r="306" spans="3:14">
      <c r="C306" s="183">
        <v>2</v>
      </c>
      <c r="D306" s="168">
        <v>9.7484665624999991</v>
      </c>
      <c r="E306" s="168" t="s">
        <v>308</v>
      </c>
      <c r="F306" s="168" t="s">
        <v>308</v>
      </c>
      <c r="G306" s="168" t="s">
        <v>308</v>
      </c>
      <c r="H306" s="168" t="s">
        <v>308</v>
      </c>
      <c r="I306" s="168" t="s">
        <v>308</v>
      </c>
      <c r="J306" s="177" t="s">
        <v>308</v>
      </c>
      <c r="K306" s="179">
        <v>2.375</v>
      </c>
      <c r="L306" s="170">
        <v>2.1603249999999998</v>
      </c>
      <c r="M306" s="170">
        <v>1.9</v>
      </c>
      <c r="N306" s="171">
        <v>2424426.5430000001</v>
      </c>
    </row>
    <row r="307" spans="3:14">
      <c r="C307" s="183">
        <v>3</v>
      </c>
      <c r="D307" s="168">
        <v>9.877411249999998</v>
      </c>
      <c r="E307" s="168">
        <v>9.877411249999998</v>
      </c>
      <c r="F307" s="168" t="s">
        <v>308</v>
      </c>
      <c r="G307" s="168" t="s">
        <v>308</v>
      </c>
      <c r="H307" s="168" t="s">
        <v>308</v>
      </c>
      <c r="I307" s="168" t="s">
        <v>308</v>
      </c>
      <c r="J307" s="177" t="s">
        <v>308</v>
      </c>
      <c r="K307" s="179">
        <v>3.5</v>
      </c>
      <c r="L307" s="170">
        <v>2.1888999999999998</v>
      </c>
      <c r="M307" s="170">
        <v>1.9</v>
      </c>
      <c r="N307" s="171">
        <v>2424426.5430000001</v>
      </c>
    </row>
    <row r="308" spans="3:14">
      <c r="C308" s="183">
        <v>4</v>
      </c>
      <c r="D308" s="168">
        <v>9.9920287500000011</v>
      </c>
      <c r="E308" s="168">
        <v>9.9920287500000011</v>
      </c>
      <c r="F308" s="168">
        <v>9.9920287500000011</v>
      </c>
      <c r="G308" s="168" t="s">
        <v>308</v>
      </c>
      <c r="H308" s="168" t="s">
        <v>308</v>
      </c>
      <c r="I308" s="168" t="s">
        <v>308</v>
      </c>
      <c r="J308" s="177" t="s">
        <v>308</v>
      </c>
      <c r="K308" s="179">
        <v>4.5</v>
      </c>
      <c r="L308" s="170">
        <v>2.2143000000000002</v>
      </c>
      <c r="M308" s="170">
        <v>1.9</v>
      </c>
      <c r="N308" s="171">
        <v>2424426.5430000001</v>
      </c>
    </row>
    <row r="309" spans="3:14">
      <c r="C309" s="183">
        <v>6</v>
      </c>
      <c r="D309" s="168">
        <v>16.331579999999999</v>
      </c>
      <c r="E309" s="168">
        <v>16.331579999999999</v>
      </c>
      <c r="F309" s="168">
        <v>16.331579999999999</v>
      </c>
      <c r="G309" s="168">
        <v>13.60965</v>
      </c>
      <c r="H309" s="168" t="s">
        <v>308</v>
      </c>
      <c r="I309" s="168" t="s">
        <v>308</v>
      </c>
      <c r="J309" s="177" t="s">
        <v>308</v>
      </c>
      <c r="K309" s="179">
        <v>6.625</v>
      </c>
      <c r="L309" s="170">
        <v>2.268275</v>
      </c>
      <c r="M309" s="170">
        <v>2.4</v>
      </c>
      <c r="N309" s="171">
        <v>3868337.088</v>
      </c>
    </row>
    <row r="310" spans="3:14">
      <c r="C310" s="183">
        <v>8</v>
      </c>
      <c r="D310" s="168">
        <v>16.697339999999997</v>
      </c>
      <c r="E310" s="168">
        <v>16.697339999999997</v>
      </c>
      <c r="F310" s="168">
        <v>16.697339999999997</v>
      </c>
      <c r="G310" s="168">
        <v>16.697339999999997</v>
      </c>
      <c r="H310" s="168">
        <v>16.697339999999997</v>
      </c>
      <c r="I310" s="168" t="s">
        <v>308</v>
      </c>
      <c r="J310" s="177" t="s">
        <v>308</v>
      </c>
      <c r="K310" s="179">
        <v>8.625</v>
      </c>
      <c r="L310" s="170">
        <v>2.3190749999999998</v>
      </c>
      <c r="M310" s="170">
        <v>2.4</v>
      </c>
      <c r="N310" s="171">
        <v>3868337.088</v>
      </c>
    </row>
    <row r="311" spans="3:14">
      <c r="C311" s="183">
        <v>10</v>
      </c>
      <c r="D311" s="168">
        <v>17.08596</v>
      </c>
      <c r="E311" s="168">
        <v>17.08596</v>
      </c>
      <c r="F311" s="168">
        <v>17.08596</v>
      </c>
      <c r="G311" s="168">
        <v>17.08596</v>
      </c>
      <c r="H311" s="168">
        <v>17.08596</v>
      </c>
      <c r="I311" s="168">
        <v>17.08596</v>
      </c>
      <c r="J311" s="178" t="s">
        <v>308</v>
      </c>
      <c r="K311" s="179">
        <v>10.75</v>
      </c>
      <c r="L311" s="170">
        <v>2.3730500000000001</v>
      </c>
      <c r="M311" s="170">
        <v>2.4</v>
      </c>
      <c r="N311" s="171">
        <v>3868337.088</v>
      </c>
    </row>
    <row r="312" spans="3:14">
      <c r="C312" s="184">
        <v>12</v>
      </c>
      <c r="D312" s="168">
        <v>17.451719999999998</v>
      </c>
      <c r="E312" s="168">
        <v>17.451719999999998</v>
      </c>
      <c r="F312" s="168">
        <v>17.451719999999998</v>
      </c>
      <c r="G312" s="168">
        <v>17.451719999999998</v>
      </c>
      <c r="H312" s="168">
        <v>17.451719999999998</v>
      </c>
      <c r="I312" s="168">
        <v>17.451719999999998</v>
      </c>
      <c r="J312" s="177">
        <v>17.451719999999998</v>
      </c>
      <c r="K312" s="179">
        <v>12.75</v>
      </c>
      <c r="L312" s="170">
        <v>2.4238499999999998</v>
      </c>
      <c r="M312" s="170">
        <v>2.4</v>
      </c>
      <c r="N312" s="171">
        <v>3868337.088</v>
      </c>
    </row>
    <row r="313" spans="3:14">
      <c r="C313" s="184">
        <v>18</v>
      </c>
      <c r="D313" s="168">
        <v>26.882565</v>
      </c>
      <c r="E313" s="168">
        <v>26.882565</v>
      </c>
      <c r="F313" s="168">
        <v>26.882565</v>
      </c>
      <c r="G313" s="168">
        <v>26.882565</v>
      </c>
      <c r="H313" s="168">
        <v>26.882565</v>
      </c>
      <c r="I313" s="168">
        <v>26.882565</v>
      </c>
      <c r="J313" s="177">
        <v>26.882565</v>
      </c>
      <c r="K313" s="179">
        <v>18</v>
      </c>
      <c r="L313" s="170">
        <v>2.5571999999999999</v>
      </c>
      <c r="M313" s="170">
        <v>2.9</v>
      </c>
      <c r="N313" s="171">
        <v>5648040.7830000008</v>
      </c>
    </row>
    <row r="314" spans="3:14">
      <c r="C314" s="184">
        <v>20</v>
      </c>
      <c r="D314" s="168">
        <v>27.416599999999999</v>
      </c>
      <c r="E314" s="168">
        <v>27.416599999999999</v>
      </c>
      <c r="F314" s="168">
        <v>27.416599999999999</v>
      </c>
      <c r="G314" s="168">
        <v>27.416599999999999</v>
      </c>
      <c r="H314" s="168">
        <v>27.416599999999999</v>
      </c>
      <c r="I314" s="168">
        <v>27.416599999999999</v>
      </c>
      <c r="J314" s="177">
        <v>27.416599999999999</v>
      </c>
      <c r="K314" s="179">
        <v>20</v>
      </c>
      <c r="L314" s="170">
        <v>2.6080000000000001</v>
      </c>
      <c r="M314" s="170">
        <v>2.9</v>
      </c>
      <c r="N314" s="171">
        <v>5648040.7830000008</v>
      </c>
    </row>
    <row r="315" spans="3:14">
      <c r="C315" s="184">
        <v>24</v>
      </c>
      <c r="D315" s="168">
        <v>28.484669999999998</v>
      </c>
      <c r="E315" s="168">
        <v>28.484669999999998</v>
      </c>
      <c r="F315" s="168">
        <v>28.484669999999998</v>
      </c>
      <c r="G315" s="168">
        <v>28.484669999999998</v>
      </c>
      <c r="H315" s="168">
        <v>28.484669999999998</v>
      </c>
      <c r="I315" s="168">
        <v>28.484669999999998</v>
      </c>
      <c r="J315" s="177">
        <v>28.484669999999998</v>
      </c>
      <c r="K315" s="179">
        <v>24</v>
      </c>
      <c r="L315" s="170">
        <v>2.7096</v>
      </c>
      <c r="M315" s="170">
        <v>2.9</v>
      </c>
      <c r="N315" s="171">
        <v>5648040.7830000008</v>
      </c>
    </row>
    <row r="316" spans="3:14" ht="15.75" thickBot="1">
      <c r="C316" s="185">
        <v>32</v>
      </c>
      <c r="D316" s="186">
        <v>30.620809999999999</v>
      </c>
      <c r="E316" s="186">
        <v>30.620809999999999</v>
      </c>
      <c r="F316" s="186">
        <v>30.620809999999999</v>
      </c>
      <c r="G316" s="186">
        <v>30.620809999999999</v>
      </c>
      <c r="H316" s="186">
        <v>30.620809999999999</v>
      </c>
      <c r="I316" s="186">
        <v>30.620809999999999</v>
      </c>
      <c r="J316" s="187">
        <v>30.620809999999999</v>
      </c>
      <c r="K316" s="188">
        <v>32</v>
      </c>
      <c r="L316" s="174">
        <v>2.9127999999999998</v>
      </c>
      <c r="M316" s="174">
        <v>2.9</v>
      </c>
      <c r="N316" s="175">
        <v>5648040.7830000008</v>
      </c>
    </row>
    <row r="317" spans="3:14" ht="15.75" thickBot="1"/>
    <row r="318" spans="3:14" ht="18">
      <c r="C318" s="688" t="s">
        <v>310</v>
      </c>
      <c r="D318" s="689"/>
      <c r="E318" s="689"/>
      <c r="F318" s="689"/>
      <c r="G318" s="689"/>
      <c r="H318" s="689"/>
      <c r="I318" s="689"/>
      <c r="J318" s="690"/>
      <c r="K318" s="164"/>
      <c r="L318" s="195"/>
      <c r="M318" s="195"/>
      <c r="N318" s="195"/>
    </row>
    <row r="319" spans="3:14" ht="15.75" thickBot="1">
      <c r="C319" s="198"/>
      <c r="D319" s="691" t="s">
        <v>302</v>
      </c>
      <c r="E319" s="691"/>
      <c r="F319" s="691"/>
      <c r="G319" s="691"/>
      <c r="H319" s="691"/>
      <c r="I319" s="691"/>
      <c r="J319" s="692"/>
      <c r="K319" s="28"/>
      <c r="L319" s="196"/>
      <c r="M319" s="196"/>
      <c r="N319" s="28"/>
    </row>
    <row r="320" spans="3:14" ht="24">
      <c r="C320" s="199" t="s">
        <v>303</v>
      </c>
      <c r="D320" s="167">
        <v>2</v>
      </c>
      <c r="E320" s="167">
        <v>3</v>
      </c>
      <c r="F320" s="167">
        <v>4</v>
      </c>
      <c r="G320" s="167">
        <v>6</v>
      </c>
      <c r="H320" s="167">
        <v>8</v>
      </c>
      <c r="I320" s="167">
        <v>10</v>
      </c>
      <c r="J320" s="176">
        <v>12</v>
      </c>
      <c r="K320" s="203" t="s">
        <v>304</v>
      </c>
      <c r="L320" s="204" t="s">
        <v>311</v>
      </c>
      <c r="M320" s="205" t="s">
        <v>312</v>
      </c>
    </row>
    <row r="321" spans="3:14">
      <c r="C321" s="183">
        <v>2</v>
      </c>
      <c r="D321" s="168">
        <v>7.7987732499999991</v>
      </c>
      <c r="E321" s="168" t="s">
        <v>308</v>
      </c>
      <c r="F321" s="168" t="s">
        <v>308</v>
      </c>
      <c r="G321" s="168" t="s">
        <v>308</v>
      </c>
      <c r="H321" s="168" t="s">
        <v>308</v>
      </c>
      <c r="I321" s="168" t="s">
        <v>308</v>
      </c>
      <c r="J321" s="177" t="s">
        <v>308</v>
      </c>
      <c r="K321" s="169">
        <v>2.375</v>
      </c>
      <c r="L321" s="170">
        <v>3.61</v>
      </c>
      <c r="M321" s="200">
        <v>16.418469999999999</v>
      </c>
    </row>
    <row r="322" spans="3:14">
      <c r="C322" s="183">
        <v>3</v>
      </c>
      <c r="D322" s="168">
        <v>7.9019289999999991</v>
      </c>
      <c r="E322" s="168">
        <v>7.9019289999999991</v>
      </c>
      <c r="F322" s="168" t="s">
        <v>308</v>
      </c>
      <c r="G322" s="168" t="s">
        <v>308</v>
      </c>
      <c r="H322" s="168" t="s">
        <v>308</v>
      </c>
      <c r="I322" s="168" t="s">
        <v>308</v>
      </c>
      <c r="J322" s="177" t="s">
        <v>308</v>
      </c>
      <c r="K322" s="169">
        <v>3.5</v>
      </c>
      <c r="L322" s="170">
        <v>3.61</v>
      </c>
      <c r="M322" s="200">
        <v>16.635639999999999</v>
      </c>
    </row>
    <row r="323" spans="3:14">
      <c r="C323" s="183">
        <v>4</v>
      </c>
      <c r="D323" s="168">
        <v>7.9936230000000004</v>
      </c>
      <c r="E323" s="168">
        <v>7.9936230000000004</v>
      </c>
      <c r="F323" s="168">
        <v>7.9936230000000004</v>
      </c>
      <c r="G323" s="168" t="s">
        <v>308</v>
      </c>
      <c r="H323" s="168" t="s">
        <v>308</v>
      </c>
      <c r="I323" s="168" t="s">
        <v>308</v>
      </c>
      <c r="J323" s="177" t="s">
        <v>308</v>
      </c>
      <c r="K323" s="169">
        <v>4.5</v>
      </c>
      <c r="L323" s="170">
        <v>3.61</v>
      </c>
      <c r="M323" s="200">
        <v>16.828680000000002</v>
      </c>
    </row>
    <row r="324" spans="3:14">
      <c r="C324" s="183">
        <v>6</v>
      </c>
      <c r="D324" s="168">
        <v>13.065263999999999</v>
      </c>
      <c r="E324" s="168">
        <v>13.065263999999999</v>
      </c>
      <c r="F324" s="168">
        <v>13.065263999999999</v>
      </c>
      <c r="G324" s="168">
        <v>13.065263999999999</v>
      </c>
      <c r="H324" s="168" t="s">
        <v>308</v>
      </c>
      <c r="I324" s="168" t="s">
        <v>308</v>
      </c>
      <c r="J324" s="177" t="s">
        <v>308</v>
      </c>
      <c r="K324" s="169">
        <v>6.625</v>
      </c>
      <c r="L324" s="170">
        <v>5.76</v>
      </c>
      <c r="M324" s="200">
        <v>21.77544</v>
      </c>
    </row>
    <row r="325" spans="3:14">
      <c r="C325" s="183">
        <v>8</v>
      </c>
      <c r="D325" s="168">
        <v>13.357871999999999</v>
      </c>
      <c r="E325" s="168">
        <v>13.357871999999999</v>
      </c>
      <c r="F325" s="168">
        <v>13.357871999999999</v>
      </c>
      <c r="G325" s="168">
        <v>13.357871999999999</v>
      </c>
      <c r="H325" s="168">
        <v>13.357871999999999</v>
      </c>
      <c r="I325" s="168" t="s">
        <v>308</v>
      </c>
      <c r="J325" s="177" t="s">
        <v>308</v>
      </c>
      <c r="K325" s="169">
        <v>8.625</v>
      </c>
      <c r="L325" s="170">
        <v>5.76</v>
      </c>
      <c r="M325" s="200">
        <v>22.263119999999997</v>
      </c>
    </row>
    <row r="326" spans="3:14">
      <c r="C326" s="183">
        <v>10</v>
      </c>
      <c r="D326" s="168">
        <v>13.668768</v>
      </c>
      <c r="E326" s="168">
        <v>13.668768</v>
      </c>
      <c r="F326" s="168">
        <v>13.668768</v>
      </c>
      <c r="G326" s="168">
        <v>13.668768</v>
      </c>
      <c r="H326" s="168">
        <v>13.668768</v>
      </c>
      <c r="I326" s="172">
        <v>13.668768</v>
      </c>
      <c r="J326" s="178" t="s">
        <v>308</v>
      </c>
      <c r="K326" s="169">
        <v>10.75</v>
      </c>
      <c r="L326" s="170">
        <v>5.76</v>
      </c>
      <c r="M326" s="200">
        <v>22.781279999999999</v>
      </c>
    </row>
    <row r="327" spans="3:14">
      <c r="C327" s="184">
        <v>12</v>
      </c>
      <c r="D327" s="168">
        <v>13.961375999999998</v>
      </c>
      <c r="E327" s="168">
        <v>13.961375999999998</v>
      </c>
      <c r="F327" s="168">
        <v>13.961375999999998</v>
      </c>
      <c r="G327" s="168">
        <v>13.961375999999998</v>
      </c>
      <c r="H327" s="168">
        <v>13.961375999999998</v>
      </c>
      <c r="I327" s="172">
        <v>13.961375999999998</v>
      </c>
      <c r="J327" s="178">
        <v>13.961375999999998</v>
      </c>
      <c r="K327" s="169">
        <v>12.75</v>
      </c>
      <c r="L327" s="170">
        <v>5.76</v>
      </c>
      <c r="M327" s="200">
        <v>23.268959999999996</v>
      </c>
    </row>
    <row r="328" spans="3:14">
      <c r="C328" s="184">
        <v>18</v>
      </c>
      <c r="D328" s="168">
        <v>21.506052</v>
      </c>
      <c r="E328" s="168">
        <v>21.506052</v>
      </c>
      <c r="F328" s="168">
        <v>21.506052</v>
      </c>
      <c r="G328" s="168">
        <v>21.506052</v>
      </c>
      <c r="H328" s="168">
        <v>21.506052</v>
      </c>
      <c r="I328" s="172">
        <v>21.506052</v>
      </c>
      <c r="J328" s="178">
        <v>21.506052</v>
      </c>
      <c r="K328" s="169">
        <v>18</v>
      </c>
      <c r="L328" s="170">
        <v>8.41</v>
      </c>
      <c r="M328" s="200">
        <v>29.663519999999998</v>
      </c>
    </row>
    <row r="329" spans="3:14">
      <c r="C329" s="184">
        <v>20</v>
      </c>
      <c r="D329" s="168">
        <v>21.93328</v>
      </c>
      <c r="E329" s="168">
        <v>21.93328</v>
      </c>
      <c r="F329" s="168">
        <v>21.93328</v>
      </c>
      <c r="G329" s="168">
        <v>21.93328</v>
      </c>
      <c r="H329" s="168">
        <v>21.93328</v>
      </c>
      <c r="I329" s="172">
        <v>21.93328</v>
      </c>
      <c r="J329" s="178">
        <v>21.93328</v>
      </c>
      <c r="K329" s="169">
        <v>20</v>
      </c>
      <c r="L329" s="170">
        <v>8.41</v>
      </c>
      <c r="M329" s="200">
        <v>30.252800000000001</v>
      </c>
    </row>
    <row r="330" spans="3:14">
      <c r="C330" s="184">
        <v>24</v>
      </c>
      <c r="D330" s="168">
        <v>22.787735999999999</v>
      </c>
      <c r="E330" s="168">
        <v>22.787735999999999</v>
      </c>
      <c r="F330" s="168">
        <v>22.787735999999999</v>
      </c>
      <c r="G330" s="168">
        <v>22.787735999999999</v>
      </c>
      <c r="H330" s="168">
        <v>22.787735999999999</v>
      </c>
      <c r="I330" s="172">
        <v>22.787735999999999</v>
      </c>
      <c r="J330" s="178">
        <v>22.787735999999999</v>
      </c>
      <c r="K330" s="169">
        <v>24</v>
      </c>
      <c r="L330" s="170">
        <v>8.41</v>
      </c>
      <c r="M330" s="200">
        <v>31.431359999999998</v>
      </c>
    </row>
    <row r="331" spans="3:14" ht="15.75" thickBot="1">
      <c r="C331" s="185">
        <v>32</v>
      </c>
      <c r="D331" s="186">
        <v>24.496648</v>
      </c>
      <c r="E331" s="186">
        <v>24.496648</v>
      </c>
      <c r="F331" s="186">
        <v>24.496648</v>
      </c>
      <c r="G331" s="186">
        <v>24.496648</v>
      </c>
      <c r="H331" s="186">
        <v>24.496648</v>
      </c>
      <c r="I331" s="197">
        <v>24.496648</v>
      </c>
      <c r="J331" s="202">
        <v>24.496648</v>
      </c>
      <c r="K331" s="173">
        <v>32</v>
      </c>
      <c r="L331" s="174">
        <v>8.41</v>
      </c>
      <c r="M331" s="201">
        <v>33.78848</v>
      </c>
    </row>
    <row r="332" spans="3:14" ht="15.75" thickBot="1">
      <c r="C332" s="2"/>
      <c r="D332" s="2"/>
      <c r="E332" s="2"/>
      <c r="F332" s="2"/>
      <c r="G332" s="2"/>
      <c r="H332" s="2"/>
      <c r="I332" s="2"/>
      <c r="J332" s="28"/>
      <c r="K332" s="28"/>
      <c r="L332" s="28"/>
      <c r="M332" s="28"/>
      <c r="N332" s="28"/>
    </row>
    <row r="333" spans="3:14">
      <c r="C333" s="206"/>
      <c r="D333" s="207"/>
      <c r="E333" s="208" t="s">
        <v>313</v>
      </c>
      <c r="F333" s="207"/>
      <c r="G333" s="207"/>
      <c r="H333" s="208" t="s">
        <v>313</v>
      </c>
      <c r="I333" s="207"/>
      <c r="J333" s="207"/>
      <c r="K333" s="208" t="s">
        <v>313</v>
      </c>
      <c r="L333" s="207"/>
      <c r="M333" s="207"/>
      <c r="N333" s="209" t="s">
        <v>313</v>
      </c>
    </row>
    <row r="334" spans="3:14">
      <c r="C334" s="635" t="s">
        <v>314</v>
      </c>
      <c r="D334" s="634"/>
      <c r="E334" s="210">
        <v>4238</v>
      </c>
      <c r="F334" s="633" t="s">
        <v>315</v>
      </c>
      <c r="G334" s="634"/>
      <c r="H334" s="210">
        <v>19626</v>
      </c>
      <c r="I334" s="633" t="s">
        <v>316</v>
      </c>
      <c r="J334" s="634"/>
      <c r="K334" s="211">
        <v>30154</v>
      </c>
      <c r="L334" s="633" t="s">
        <v>317</v>
      </c>
      <c r="M334" s="634"/>
      <c r="N334" s="212">
        <v>61421</v>
      </c>
    </row>
    <row r="335" spans="3:14">
      <c r="C335" s="635"/>
      <c r="D335" s="634"/>
      <c r="E335" s="210"/>
      <c r="F335" s="633" t="s">
        <v>318</v>
      </c>
      <c r="G335" s="634"/>
      <c r="H335" s="210">
        <v>60272</v>
      </c>
      <c r="I335" s="633" t="s">
        <v>319</v>
      </c>
      <c r="J335" s="634"/>
      <c r="K335" s="211">
        <v>441630</v>
      </c>
      <c r="L335" s="633" t="s">
        <v>320</v>
      </c>
      <c r="M335" s="634"/>
      <c r="N335" s="212">
        <v>26848</v>
      </c>
    </row>
    <row r="336" spans="3:14">
      <c r="C336" s="635"/>
      <c r="D336" s="634"/>
      <c r="E336" s="210"/>
      <c r="F336" s="633"/>
      <c r="G336" s="634"/>
      <c r="H336" s="210"/>
      <c r="I336" s="633" t="s">
        <v>321</v>
      </c>
      <c r="J336" s="634"/>
      <c r="K336" s="211">
        <v>4335</v>
      </c>
      <c r="L336" s="633" t="s">
        <v>322</v>
      </c>
      <c r="M336" s="634"/>
      <c r="N336" s="212">
        <v>8476</v>
      </c>
    </row>
    <row r="337" spans="1:17">
      <c r="C337" s="635"/>
      <c r="D337" s="634"/>
      <c r="E337" s="210"/>
      <c r="F337" s="633"/>
      <c r="G337" s="634"/>
      <c r="H337" s="210"/>
      <c r="I337" s="633" t="s">
        <v>323</v>
      </c>
      <c r="J337" s="634"/>
      <c r="K337" s="211">
        <v>40674</v>
      </c>
      <c r="L337" s="633" t="s">
        <v>324</v>
      </c>
      <c r="M337" s="634"/>
      <c r="N337" s="212">
        <v>7694</v>
      </c>
    </row>
    <row r="338" spans="1:17" ht="15.75" thickBot="1">
      <c r="C338" s="213"/>
      <c r="D338" s="214" t="s">
        <v>325</v>
      </c>
      <c r="E338" s="215">
        <v>4238</v>
      </c>
      <c r="F338" s="216"/>
      <c r="G338" s="214" t="s">
        <v>327</v>
      </c>
      <c r="H338" s="217">
        <v>79898</v>
      </c>
      <c r="I338" s="218"/>
      <c r="J338" s="214" t="s">
        <v>328</v>
      </c>
      <c r="K338" s="215">
        <v>516793</v>
      </c>
      <c r="L338" s="218"/>
      <c r="M338" s="214" t="s">
        <v>326</v>
      </c>
      <c r="N338" s="219">
        <v>104439</v>
      </c>
    </row>
    <row r="342" spans="1:17">
      <c r="A342" s="674" t="s">
        <v>217</v>
      </c>
      <c r="B342" s="674"/>
      <c r="C342" s="674"/>
      <c r="D342" s="674"/>
      <c r="E342" s="674"/>
      <c r="F342" s="674"/>
      <c r="G342" s="674"/>
      <c r="H342" s="674"/>
      <c r="I342" s="674"/>
      <c r="J342" s="674"/>
      <c r="K342" s="674"/>
      <c r="L342" s="674"/>
      <c r="M342" s="674"/>
      <c r="N342" s="674"/>
      <c r="O342" s="674"/>
      <c r="P342" s="674"/>
      <c r="Q342" s="674"/>
    </row>
    <row r="343" spans="1:17">
      <c r="A343" s="2"/>
      <c r="B343" s="2"/>
      <c r="C343" s="2" t="s">
        <v>209</v>
      </c>
      <c r="D343" s="2">
        <v>2047.43</v>
      </c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1:17">
      <c r="A344" s="2"/>
      <c r="B344" s="2"/>
      <c r="C344" s="2" t="s">
        <v>210</v>
      </c>
      <c r="D344" s="2">
        <v>0.2</v>
      </c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1:17">
      <c r="A345" s="2"/>
      <c r="B345" s="2"/>
      <c r="C345" s="2"/>
      <c r="D345" s="2"/>
      <c r="E345" s="72" t="s">
        <v>201</v>
      </c>
      <c r="F345" s="73" t="s">
        <v>196</v>
      </c>
      <c r="G345" s="2" t="s">
        <v>202</v>
      </c>
      <c r="H345" s="59" t="s">
        <v>205</v>
      </c>
      <c r="I345" s="74" t="s">
        <v>203</v>
      </c>
      <c r="J345" s="6" t="s">
        <v>197</v>
      </c>
      <c r="K345" s="2"/>
      <c r="L345" s="2"/>
      <c r="M345" s="2"/>
      <c r="N345" s="2"/>
      <c r="O345" s="2"/>
      <c r="P345" s="2"/>
      <c r="Q345" s="2"/>
    </row>
    <row r="346" spans="1:17">
      <c r="A346" s="2"/>
      <c r="B346" s="2"/>
      <c r="C346" s="2"/>
      <c r="D346" s="2"/>
      <c r="E346" s="2"/>
      <c r="F346" s="2"/>
      <c r="G346" s="2"/>
      <c r="H346" s="73" t="s">
        <v>206</v>
      </c>
      <c r="I346" s="2"/>
      <c r="J346" s="2" t="s">
        <v>207</v>
      </c>
      <c r="K346" s="2"/>
      <c r="L346" s="2"/>
      <c r="M346" s="2"/>
      <c r="N346" s="2"/>
      <c r="O346" s="2"/>
      <c r="P346" s="2"/>
      <c r="Q346" s="2"/>
    </row>
    <row r="347" spans="1:17">
      <c r="A347" s="2"/>
      <c r="B347" s="2"/>
      <c r="C347" s="2"/>
      <c r="D347" s="2"/>
      <c r="E347" s="2"/>
      <c r="F347" s="2"/>
      <c r="G347" s="2"/>
      <c r="H347" s="73"/>
      <c r="I347" s="2"/>
      <c r="J347" s="2"/>
      <c r="K347" s="2"/>
      <c r="L347" s="2"/>
      <c r="M347" s="2"/>
      <c r="N347" s="2"/>
      <c r="O347" s="2"/>
      <c r="P347" s="2"/>
      <c r="Q347" s="2"/>
    </row>
    <row r="348" spans="1:17">
      <c r="A348" s="2"/>
      <c r="B348" s="2"/>
      <c r="C348" s="2"/>
      <c r="D348" s="855" t="s">
        <v>41</v>
      </c>
      <c r="E348" s="856"/>
      <c r="F348" s="856"/>
      <c r="G348" s="856"/>
      <c r="H348" s="856"/>
      <c r="I348" s="856"/>
      <c r="J348" s="856"/>
      <c r="K348" s="856"/>
      <c r="L348" s="856"/>
      <c r="M348" s="856"/>
      <c r="N348" s="856"/>
      <c r="O348" s="831"/>
      <c r="P348" s="2"/>
      <c r="Q348" s="2"/>
    </row>
    <row r="349" spans="1:17">
      <c r="A349" s="2"/>
      <c r="B349" s="2"/>
      <c r="C349" s="102"/>
      <c r="D349" s="50" t="s">
        <v>0</v>
      </c>
      <c r="E349" s="50" t="s">
        <v>1</v>
      </c>
      <c r="F349" s="50" t="s">
        <v>2</v>
      </c>
      <c r="G349" s="50" t="s">
        <v>3</v>
      </c>
      <c r="H349" s="50" t="s">
        <v>4</v>
      </c>
      <c r="I349" s="50" t="s">
        <v>5</v>
      </c>
      <c r="J349" s="50" t="s">
        <v>6</v>
      </c>
      <c r="K349" s="50" t="s">
        <v>7</v>
      </c>
      <c r="L349" s="50" t="s">
        <v>8</v>
      </c>
      <c r="M349" s="50" t="s">
        <v>168</v>
      </c>
      <c r="N349" s="50" t="s">
        <v>169</v>
      </c>
      <c r="O349" s="50" t="s">
        <v>170</v>
      </c>
      <c r="P349" s="2"/>
      <c r="Q349" s="2"/>
    </row>
    <row r="350" spans="1:17">
      <c r="A350" s="2"/>
      <c r="B350" s="2"/>
      <c r="C350" s="389" t="s">
        <v>370</v>
      </c>
      <c r="D350" s="77">
        <f t="shared" ref="D350:O350" si="92">D351*($E$494*($E$495/$F$495)+$E$496*($E$497/$F$497))</f>
        <v>10776.485647706815</v>
      </c>
      <c r="E350" s="77">
        <f t="shared" si="92"/>
        <v>17771.441228654301</v>
      </c>
      <c r="F350" s="77">
        <f t="shared" si="92"/>
        <v>21263.534141852488</v>
      </c>
      <c r="G350" s="77">
        <f t="shared" si="92"/>
        <v>46495.722835789886</v>
      </c>
      <c r="H350" s="77">
        <f t="shared" si="92"/>
        <v>374270.51016025711</v>
      </c>
      <c r="I350" s="77">
        <f t="shared" si="92"/>
        <v>374270.51016025711</v>
      </c>
      <c r="J350" s="77">
        <f t="shared" si="92"/>
        <v>374270.51016025711</v>
      </c>
      <c r="K350" s="77">
        <f t="shared" si="92"/>
        <v>374270.51016025711</v>
      </c>
      <c r="L350" s="77">
        <f t="shared" si="92"/>
        <v>374270.51016025711</v>
      </c>
      <c r="M350" s="77">
        <f t="shared" si="92"/>
        <v>374270.51016025711</v>
      </c>
      <c r="N350" s="77">
        <f t="shared" si="92"/>
        <v>374270.51016025711</v>
      </c>
      <c r="O350" s="77">
        <f t="shared" si="92"/>
        <v>374270.51016025711</v>
      </c>
      <c r="P350" s="2"/>
      <c r="Q350" s="2"/>
    </row>
    <row r="351" spans="1:17">
      <c r="A351" s="2"/>
      <c r="B351" s="2"/>
      <c r="C351" s="390" t="s">
        <v>371</v>
      </c>
      <c r="D351" s="58">
        <v>8005</v>
      </c>
      <c r="E351" s="58">
        <v>13201</v>
      </c>
      <c r="F351" s="58">
        <v>15795</v>
      </c>
      <c r="G351" s="58">
        <v>34538</v>
      </c>
      <c r="H351" s="58">
        <v>278016</v>
      </c>
      <c r="I351" s="58">
        <v>278016</v>
      </c>
      <c r="J351" s="58">
        <v>278016</v>
      </c>
      <c r="K351" s="58">
        <v>278016</v>
      </c>
      <c r="L351" s="58">
        <v>278016</v>
      </c>
      <c r="M351" s="58">
        <v>278016</v>
      </c>
      <c r="N351" s="58">
        <v>278016</v>
      </c>
      <c r="O351" s="58">
        <v>278016</v>
      </c>
      <c r="P351" s="2"/>
      <c r="Q351" s="2"/>
    </row>
    <row r="352" spans="1:17">
      <c r="A352" s="2"/>
      <c r="B352" s="2"/>
      <c r="C352" s="10"/>
      <c r="D352" s="671" t="s">
        <v>42</v>
      </c>
      <c r="E352" s="672"/>
      <c r="F352" s="672"/>
      <c r="G352" s="672"/>
      <c r="H352" s="672"/>
      <c r="I352" s="672"/>
      <c r="J352" s="672"/>
      <c r="K352" s="672"/>
      <c r="L352" s="672"/>
      <c r="M352" s="672"/>
      <c r="N352" s="672"/>
      <c r="O352" s="673"/>
      <c r="P352" s="2"/>
      <c r="Q352" s="2"/>
    </row>
    <row r="353" spans="1:17">
      <c r="A353" s="2"/>
      <c r="B353" s="2"/>
      <c r="C353" s="389" t="s">
        <v>370</v>
      </c>
      <c r="D353" s="77">
        <f t="shared" ref="D353:O353" si="93">D354*($E$494*($E$495/$F$495)+$E$496*($E$497/$F$497))</f>
        <v>390403.60247782344</v>
      </c>
      <c r="E353" s="77">
        <f t="shared" si="93"/>
        <v>390403.60247782344</v>
      </c>
      <c r="F353" s="77">
        <f t="shared" si="93"/>
        <v>390403.60247782344</v>
      </c>
      <c r="G353" s="77">
        <f t="shared" si="93"/>
        <v>390403.60247782344</v>
      </c>
      <c r="H353" s="77">
        <f t="shared" si="93"/>
        <v>390403.60247782344</v>
      </c>
      <c r="I353" s="77">
        <f t="shared" si="93"/>
        <v>390403.60247782344</v>
      </c>
      <c r="J353" s="77">
        <f t="shared" si="93"/>
        <v>390403.60247782344</v>
      </c>
      <c r="K353" s="77">
        <f t="shared" si="93"/>
        <v>390403.60247782344</v>
      </c>
      <c r="L353" s="77">
        <f t="shared" si="93"/>
        <v>390403.60247782344</v>
      </c>
      <c r="M353" s="77">
        <f t="shared" si="93"/>
        <v>390403.60247782344</v>
      </c>
      <c r="N353" s="77">
        <f t="shared" si="93"/>
        <v>390403.60247782344</v>
      </c>
      <c r="O353" s="77">
        <f t="shared" si="93"/>
        <v>390403.60247782344</v>
      </c>
      <c r="P353" s="2"/>
      <c r="Q353" s="2"/>
    </row>
    <row r="354" spans="1:17">
      <c r="A354" s="2"/>
      <c r="B354" s="2"/>
      <c r="C354" s="390" t="s">
        <v>371</v>
      </c>
      <c r="D354" s="58">
        <v>290000</v>
      </c>
      <c r="E354" s="58">
        <v>290000</v>
      </c>
      <c r="F354" s="58">
        <v>290000</v>
      </c>
      <c r="G354" s="58">
        <v>290000</v>
      </c>
      <c r="H354" s="58">
        <v>290000</v>
      </c>
      <c r="I354" s="58">
        <v>290000</v>
      </c>
      <c r="J354" s="58">
        <v>290000</v>
      </c>
      <c r="K354" s="58">
        <v>290000</v>
      </c>
      <c r="L354" s="58">
        <v>290000</v>
      </c>
      <c r="M354" s="58">
        <v>290000</v>
      </c>
      <c r="N354" s="58">
        <v>290000</v>
      </c>
      <c r="O354" s="58">
        <v>290000</v>
      </c>
      <c r="P354" s="2"/>
      <c r="Q354" s="2"/>
    </row>
    <row r="355" spans="1:17">
      <c r="A355" s="2"/>
      <c r="B355" s="2"/>
      <c r="C355" s="10"/>
      <c r="D355" s="671" t="s">
        <v>270</v>
      </c>
      <c r="E355" s="672"/>
      <c r="F355" s="672"/>
      <c r="G355" s="672"/>
      <c r="H355" s="672"/>
      <c r="I355" s="672"/>
      <c r="J355" s="672"/>
      <c r="K355" s="672"/>
      <c r="L355" s="672"/>
      <c r="M355" s="672"/>
      <c r="N355" s="672"/>
      <c r="O355" s="673"/>
      <c r="P355" s="2"/>
      <c r="Q355" s="2"/>
    </row>
    <row r="356" spans="1:17">
      <c r="A356" s="2"/>
      <c r="B356" s="2"/>
      <c r="C356" s="389" t="s">
        <v>370</v>
      </c>
      <c r="D356" s="77">
        <f>D357*1.03</f>
        <v>387280</v>
      </c>
      <c r="E356" s="77">
        <f t="shared" ref="E356:O356" si="94">E357*1.03</f>
        <v>387280</v>
      </c>
      <c r="F356" s="77">
        <f t="shared" si="94"/>
        <v>387280</v>
      </c>
      <c r="G356" s="77">
        <f t="shared" si="94"/>
        <v>387280</v>
      </c>
      <c r="H356" s="77">
        <f t="shared" si="94"/>
        <v>387280</v>
      </c>
      <c r="I356" s="77">
        <f t="shared" si="94"/>
        <v>387280</v>
      </c>
      <c r="J356" s="77">
        <f t="shared" si="94"/>
        <v>387280</v>
      </c>
      <c r="K356" s="77">
        <f t="shared" si="94"/>
        <v>387280</v>
      </c>
      <c r="L356" s="77">
        <f t="shared" si="94"/>
        <v>387280</v>
      </c>
      <c r="M356" s="77">
        <f t="shared" si="94"/>
        <v>387280</v>
      </c>
      <c r="N356" s="77">
        <f t="shared" si="94"/>
        <v>387280</v>
      </c>
      <c r="O356" s="77">
        <f t="shared" si="94"/>
        <v>387280</v>
      </c>
      <c r="P356" s="2"/>
      <c r="Q356" s="2"/>
    </row>
    <row r="357" spans="1:17">
      <c r="A357" s="2"/>
      <c r="B357" s="2"/>
      <c r="C357" s="390" t="s">
        <v>371</v>
      </c>
      <c r="D357" s="58">
        <v>376000</v>
      </c>
      <c r="E357" s="58">
        <v>376000</v>
      </c>
      <c r="F357" s="58">
        <v>376000</v>
      </c>
      <c r="G357" s="58">
        <v>376000</v>
      </c>
      <c r="H357" s="58">
        <v>376000</v>
      </c>
      <c r="I357" s="58">
        <v>376000</v>
      </c>
      <c r="J357" s="58">
        <v>376000</v>
      </c>
      <c r="K357" s="58">
        <v>376000</v>
      </c>
      <c r="L357" s="58">
        <v>376000</v>
      </c>
      <c r="M357" s="58">
        <v>376000</v>
      </c>
      <c r="N357" s="58">
        <v>376000</v>
      </c>
      <c r="O357" s="58">
        <v>376000</v>
      </c>
      <c r="P357" s="2"/>
      <c r="Q357" s="2"/>
    </row>
    <row r="358" spans="1:17">
      <c r="A358" s="2"/>
      <c r="B358" s="2"/>
      <c r="C358" s="10"/>
      <c r="D358" s="671" t="s">
        <v>55</v>
      </c>
      <c r="E358" s="672"/>
      <c r="F358" s="672"/>
      <c r="G358" s="672"/>
      <c r="H358" s="672"/>
      <c r="I358" s="672"/>
      <c r="J358" s="672"/>
      <c r="K358" s="672"/>
      <c r="L358" s="672"/>
      <c r="M358" s="672"/>
      <c r="N358" s="672"/>
      <c r="O358" s="673"/>
      <c r="P358" s="2"/>
      <c r="Q358" s="2"/>
    </row>
    <row r="359" spans="1:17">
      <c r="A359" s="2"/>
      <c r="B359" s="2"/>
      <c r="C359" s="389" t="s">
        <v>370</v>
      </c>
      <c r="D359" s="77">
        <f t="shared" ref="D359:O359" si="95">D360*($E$494*($E$495/$F$495)+$E$496*($E$497/$F$497))</f>
        <v>57813.388649690096</v>
      </c>
      <c r="E359" s="77">
        <f t="shared" si="95"/>
        <v>64236.201020109736</v>
      </c>
      <c r="F359" s="77">
        <f t="shared" si="95"/>
        <v>71373.855848859457</v>
      </c>
      <c r="G359" s="77">
        <f t="shared" si="95"/>
        <v>79304.433856434829</v>
      </c>
      <c r="H359" s="77">
        <f t="shared" si="95"/>
        <v>198261.75775074653</v>
      </c>
      <c r="I359" s="77">
        <f t="shared" si="95"/>
        <v>198261.75775074653</v>
      </c>
      <c r="J359" s="77">
        <f t="shared" si="95"/>
        <v>198261.75775074653</v>
      </c>
      <c r="K359" s="77">
        <f t="shared" si="95"/>
        <v>198261.75775074653</v>
      </c>
      <c r="L359" s="77">
        <f t="shared" si="95"/>
        <v>198261.75775074653</v>
      </c>
      <c r="M359" s="77">
        <f t="shared" si="95"/>
        <v>198261.75775074653</v>
      </c>
      <c r="N359" s="77">
        <f t="shared" si="95"/>
        <v>198261.75775074653</v>
      </c>
      <c r="O359" s="77">
        <f t="shared" si="95"/>
        <v>198261.75775074653</v>
      </c>
      <c r="P359" s="2"/>
      <c r="Q359" s="2"/>
    </row>
    <row r="360" spans="1:17">
      <c r="A360" s="2"/>
      <c r="B360" s="2"/>
      <c r="C360" s="390" t="s">
        <v>371</v>
      </c>
      <c r="D360" s="58">
        <v>42945</v>
      </c>
      <c r="E360" s="58">
        <v>47716</v>
      </c>
      <c r="F360" s="58">
        <v>53018</v>
      </c>
      <c r="G360" s="58">
        <v>58909</v>
      </c>
      <c r="H360" s="58">
        <v>147273</v>
      </c>
      <c r="I360" s="58">
        <v>147273</v>
      </c>
      <c r="J360" s="58">
        <v>147273</v>
      </c>
      <c r="K360" s="58">
        <v>147273</v>
      </c>
      <c r="L360" s="58">
        <v>147273</v>
      </c>
      <c r="M360" s="58">
        <v>147273</v>
      </c>
      <c r="N360" s="58">
        <v>147273</v>
      </c>
      <c r="O360" s="58">
        <v>147273</v>
      </c>
      <c r="P360" s="2"/>
      <c r="Q360" s="2"/>
    </row>
    <row r="361" spans="1:17">
      <c r="A361" s="28"/>
      <c r="B361" s="28"/>
      <c r="C361" s="10"/>
      <c r="D361" s="671" t="s">
        <v>380</v>
      </c>
      <c r="E361" s="672"/>
      <c r="F361" s="672"/>
      <c r="G361" s="672"/>
      <c r="H361" s="672"/>
      <c r="I361" s="672"/>
      <c r="J361" s="672"/>
      <c r="K361" s="672"/>
      <c r="L361" s="672"/>
      <c r="M361" s="672"/>
      <c r="N361" s="672"/>
      <c r="O361" s="673"/>
    </row>
    <row r="362" spans="1:17">
      <c r="A362" s="28"/>
      <c r="B362" s="28"/>
      <c r="C362" s="389" t="s">
        <v>370</v>
      </c>
      <c r="D362" s="77">
        <f t="shared" ref="D362:O362" si="96">D363*($E$494*($E$495/$F$495)+$E$496*($E$497/$F$497))</f>
        <v>0</v>
      </c>
      <c r="E362" s="77">
        <f t="shared" si="96"/>
        <v>0</v>
      </c>
      <c r="F362" s="77">
        <f t="shared" si="96"/>
        <v>0</v>
      </c>
      <c r="G362" s="77">
        <f t="shared" si="96"/>
        <v>539819.13846199983</v>
      </c>
      <c r="H362" s="77">
        <f t="shared" si="96"/>
        <v>539819.13846199983</v>
      </c>
      <c r="I362" s="77">
        <f t="shared" si="96"/>
        <v>507950.08852593938</v>
      </c>
      <c r="J362" s="77">
        <f t="shared" si="96"/>
        <v>584230.9137921494</v>
      </c>
      <c r="K362" s="77">
        <f t="shared" si="96"/>
        <v>612268.62354665156</v>
      </c>
      <c r="L362" s="77">
        <f t="shared" si="96"/>
        <v>734722.07901211816</v>
      </c>
      <c r="M362" s="77">
        <f t="shared" si="96"/>
        <v>0</v>
      </c>
      <c r="N362" s="77">
        <f t="shared" si="96"/>
        <v>0</v>
      </c>
      <c r="O362" s="77">
        <f t="shared" si="96"/>
        <v>0</v>
      </c>
    </row>
    <row r="363" spans="1:17">
      <c r="A363" s="28"/>
      <c r="B363" s="28"/>
      <c r="C363" s="390" t="s">
        <v>371</v>
      </c>
      <c r="D363" s="58"/>
      <c r="E363" s="58"/>
      <c r="F363" s="58"/>
      <c r="G363" s="58">
        <v>400989</v>
      </c>
      <c r="H363" s="58">
        <v>400989</v>
      </c>
      <c r="I363" s="58">
        <v>377316</v>
      </c>
      <c r="J363" s="58">
        <v>433979</v>
      </c>
      <c r="K363" s="58">
        <v>454806</v>
      </c>
      <c r="L363" s="58">
        <v>545767</v>
      </c>
      <c r="M363" s="58"/>
      <c r="N363" s="58"/>
      <c r="O363" s="58"/>
    </row>
    <row r="364" spans="1:17">
      <c r="A364" s="28"/>
      <c r="B364" s="28"/>
      <c r="C364" s="10"/>
      <c r="D364" s="671" t="s">
        <v>233</v>
      </c>
      <c r="E364" s="672"/>
      <c r="F364" s="672"/>
      <c r="G364" s="672"/>
      <c r="H364" s="672"/>
      <c r="I364" s="672"/>
      <c r="J364" s="672"/>
      <c r="K364" s="672"/>
      <c r="L364" s="672"/>
      <c r="M364" s="672"/>
      <c r="N364" s="672"/>
      <c r="O364" s="673"/>
    </row>
    <row r="365" spans="1:17">
      <c r="A365" s="28"/>
      <c r="B365" s="28"/>
      <c r="C365" s="389" t="s">
        <v>370</v>
      </c>
      <c r="D365" s="77">
        <f t="shared" ref="D365:O365" si="97">D366*($E$494*($E$495/$F$495)+$E$496*($E$497/$F$497))</f>
        <v>0</v>
      </c>
      <c r="E365" s="77">
        <f t="shared" si="97"/>
        <v>0</v>
      </c>
      <c r="F365" s="77">
        <f t="shared" si="97"/>
        <v>0</v>
      </c>
      <c r="G365" s="77">
        <f t="shared" si="97"/>
        <v>2917600.5499588801</v>
      </c>
      <c r="H365" s="77">
        <f t="shared" si="97"/>
        <v>2755051.2982996223</v>
      </c>
      <c r="I365" s="77">
        <f t="shared" si="97"/>
        <v>3243529.6705971505</v>
      </c>
      <c r="J365" s="77">
        <f t="shared" si="97"/>
        <v>3342085.0407136986</v>
      </c>
      <c r="K365" s="77">
        <f t="shared" si="97"/>
        <v>3400274.0245533586</v>
      </c>
      <c r="L365" s="77">
        <f t="shared" si="97"/>
        <v>3856677.3753590365</v>
      </c>
      <c r="M365" s="77">
        <f t="shared" si="97"/>
        <v>0</v>
      </c>
      <c r="N365" s="77">
        <f t="shared" si="97"/>
        <v>0</v>
      </c>
      <c r="O365" s="77">
        <f t="shared" si="97"/>
        <v>0</v>
      </c>
    </row>
    <row r="366" spans="1:17">
      <c r="A366" s="28"/>
      <c r="B366" s="28"/>
      <c r="C366" s="390" t="s">
        <v>371</v>
      </c>
      <c r="D366" s="58"/>
      <c r="E366" s="58"/>
      <c r="F366" s="58"/>
      <c r="G366" s="58">
        <v>2167255</v>
      </c>
      <c r="H366" s="58">
        <v>2046510</v>
      </c>
      <c r="I366" s="58">
        <v>2409362</v>
      </c>
      <c r="J366" s="58">
        <v>2482571</v>
      </c>
      <c r="K366" s="58">
        <v>2525795</v>
      </c>
      <c r="L366" s="58">
        <v>2864821</v>
      </c>
      <c r="M366" s="58"/>
      <c r="N366" s="58"/>
      <c r="O366" s="58"/>
    </row>
    <row r="367" spans="1:17">
      <c r="A367" s="28"/>
      <c r="B367" s="28"/>
      <c r="C367" s="10"/>
      <c r="D367" s="671" t="s">
        <v>234</v>
      </c>
      <c r="E367" s="672"/>
      <c r="F367" s="672"/>
      <c r="G367" s="672"/>
      <c r="H367" s="672"/>
      <c r="I367" s="672"/>
      <c r="J367" s="672"/>
      <c r="K367" s="672"/>
      <c r="L367" s="672"/>
      <c r="M367" s="672"/>
      <c r="N367" s="672"/>
      <c r="O367" s="673"/>
    </row>
    <row r="368" spans="1:17">
      <c r="A368" s="28"/>
      <c r="B368" s="28"/>
      <c r="C368" s="389" t="s">
        <v>370</v>
      </c>
      <c r="D368" s="77">
        <f t="shared" ref="D368:O368" si="98">D369*($E$494*($E$495/$F$495)+$E$496*($E$497/$F$497))</f>
        <v>0</v>
      </c>
      <c r="E368" s="77">
        <f t="shared" si="98"/>
        <v>0</v>
      </c>
      <c r="F368" s="77">
        <f t="shared" si="98"/>
        <v>0</v>
      </c>
      <c r="G368" s="77">
        <f t="shared" si="98"/>
        <v>6717587.2835801803</v>
      </c>
      <c r="H368" s="77">
        <f t="shared" si="98"/>
        <v>6894262.4145525405</v>
      </c>
      <c r="I368" s="77">
        <f t="shared" si="98"/>
        <v>6584920.0621423023</v>
      </c>
      <c r="J368" s="77">
        <f t="shared" si="98"/>
        <v>6667661.3939198609</v>
      </c>
      <c r="K368" s="77">
        <f t="shared" si="98"/>
        <v>6759080.4554269779</v>
      </c>
      <c r="L368" s="77">
        <f t="shared" si="98"/>
        <v>6883480.5440275585</v>
      </c>
      <c r="M368" s="77">
        <f t="shared" si="98"/>
        <v>0</v>
      </c>
      <c r="N368" s="77">
        <f t="shared" si="98"/>
        <v>0</v>
      </c>
      <c r="O368" s="77">
        <f t="shared" si="98"/>
        <v>0</v>
      </c>
    </row>
    <row r="369" spans="1:18">
      <c r="A369" s="28"/>
      <c r="B369" s="28"/>
      <c r="C369" s="390" t="s">
        <v>371</v>
      </c>
      <c r="D369" s="58"/>
      <c r="E369" s="58"/>
      <c r="F369" s="58"/>
      <c r="G369" s="58">
        <v>4989965</v>
      </c>
      <c r="H369" s="58">
        <v>5121203</v>
      </c>
      <c r="I369" s="58">
        <v>4891417</v>
      </c>
      <c r="J369" s="58">
        <v>4952879</v>
      </c>
      <c r="K369" s="58">
        <v>5020787</v>
      </c>
      <c r="L369" s="58">
        <v>5113194</v>
      </c>
      <c r="M369" s="58"/>
      <c r="N369" s="58"/>
      <c r="O369" s="58"/>
    </row>
    <row r="370" spans="1:18">
      <c r="A370" s="28"/>
      <c r="B370" s="28"/>
      <c r="C370" s="10"/>
      <c r="D370" s="671" t="s">
        <v>60</v>
      </c>
      <c r="E370" s="672"/>
      <c r="F370" s="672"/>
      <c r="G370" s="672"/>
      <c r="H370" s="672"/>
      <c r="I370" s="672"/>
      <c r="J370" s="672"/>
      <c r="K370" s="672"/>
      <c r="L370" s="672"/>
      <c r="M370" s="672"/>
      <c r="N370" s="672"/>
      <c r="O370" s="673"/>
    </row>
    <row r="371" spans="1:18">
      <c r="A371" s="28"/>
      <c r="B371" s="28"/>
      <c r="C371" s="389" t="s">
        <v>370</v>
      </c>
      <c r="D371" s="77">
        <f t="shared" ref="D371:O371" si="99">D372*($E$494*($E$495/$F$495)+$E$496*($E$497/$F$497))</f>
        <v>1950596.4047883702</v>
      </c>
      <c r="E371" s="77">
        <f t="shared" si="99"/>
        <v>3705468.6752420999</v>
      </c>
      <c r="F371" s="77">
        <f t="shared" si="99"/>
        <v>2113145.656447628</v>
      </c>
      <c r="G371" s="77">
        <f t="shared" si="99"/>
        <v>0</v>
      </c>
      <c r="H371" s="77">
        <f t="shared" si="99"/>
        <v>0</v>
      </c>
      <c r="I371" s="77">
        <f t="shared" si="99"/>
        <v>0</v>
      </c>
      <c r="J371" s="77">
        <f t="shared" si="99"/>
        <v>0</v>
      </c>
      <c r="K371" s="77">
        <f t="shared" si="99"/>
        <v>0</v>
      </c>
      <c r="L371" s="77">
        <f t="shared" si="99"/>
        <v>0</v>
      </c>
      <c r="M371" s="77">
        <f t="shared" si="99"/>
        <v>0</v>
      </c>
      <c r="N371" s="77">
        <f t="shared" si="99"/>
        <v>0</v>
      </c>
      <c r="O371" s="77">
        <f t="shared" si="99"/>
        <v>0</v>
      </c>
    </row>
    <row r="372" spans="1:18">
      <c r="A372" s="28"/>
      <c r="B372" s="28"/>
      <c r="C372" s="390" t="s">
        <v>371</v>
      </c>
      <c r="D372" s="58">
        <v>1448944</v>
      </c>
      <c r="E372" s="58">
        <v>2752500</v>
      </c>
      <c r="F372" s="58">
        <v>1569689</v>
      </c>
      <c r="G372" s="58"/>
      <c r="H372" s="58"/>
      <c r="I372" s="58"/>
      <c r="J372" s="58"/>
      <c r="K372" s="58"/>
      <c r="L372" s="58"/>
      <c r="M372" s="58"/>
      <c r="N372" s="58"/>
      <c r="O372" s="58"/>
    </row>
    <row r="373" spans="1:18">
      <c r="A373" s="28"/>
      <c r="B373" s="28"/>
      <c r="C373" s="10"/>
      <c r="D373" s="671" t="s">
        <v>236</v>
      </c>
      <c r="E373" s="672"/>
      <c r="F373" s="672"/>
      <c r="G373" s="672"/>
      <c r="H373" s="672"/>
      <c r="I373" s="672"/>
      <c r="J373" s="672"/>
      <c r="K373" s="672"/>
      <c r="L373" s="672"/>
      <c r="M373" s="672"/>
      <c r="N373" s="672"/>
      <c r="O373" s="673"/>
    </row>
    <row r="374" spans="1:18">
      <c r="A374" s="28"/>
      <c r="B374" s="28"/>
      <c r="C374" s="389" t="s">
        <v>370</v>
      </c>
      <c r="D374" s="77">
        <f t="shared" ref="D374:O374" si="100">D375*($E$494*($E$495/$F$495)+$E$496*($E$497/$F$497))</f>
        <v>487649.10119709256</v>
      </c>
      <c r="E374" s="77">
        <f t="shared" si="100"/>
        <v>481014.93239360739</v>
      </c>
      <c r="F374" s="77">
        <f t="shared" si="100"/>
        <v>528286.0775570774</v>
      </c>
      <c r="G374" s="77">
        <f t="shared" si="100"/>
        <v>0</v>
      </c>
      <c r="H374" s="77">
        <f t="shared" si="100"/>
        <v>0</v>
      </c>
      <c r="I374" s="77">
        <f t="shared" si="100"/>
        <v>0</v>
      </c>
      <c r="J374" s="77">
        <f t="shared" si="100"/>
        <v>0</v>
      </c>
      <c r="K374" s="77">
        <f t="shared" si="100"/>
        <v>0</v>
      </c>
      <c r="L374" s="77">
        <f t="shared" si="100"/>
        <v>0</v>
      </c>
      <c r="M374" s="77">
        <f t="shared" si="100"/>
        <v>0</v>
      </c>
      <c r="N374" s="77">
        <f t="shared" si="100"/>
        <v>0</v>
      </c>
      <c r="O374" s="77">
        <f t="shared" si="100"/>
        <v>0</v>
      </c>
    </row>
    <row r="375" spans="1:18">
      <c r="A375" s="28"/>
      <c r="B375" s="28"/>
      <c r="C375" s="390" t="s">
        <v>371</v>
      </c>
      <c r="D375" s="58">
        <v>362236</v>
      </c>
      <c r="E375" s="58">
        <v>357308</v>
      </c>
      <c r="F375" s="58">
        <v>392422</v>
      </c>
      <c r="G375" s="58"/>
      <c r="H375" s="58"/>
      <c r="I375" s="58"/>
      <c r="J375" s="58"/>
      <c r="K375" s="58"/>
      <c r="L375" s="58"/>
      <c r="M375" s="58"/>
      <c r="N375" s="58"/>
      <c r="O375" s="58"/>
    </row>
    <row r="376" spans="1:18">
      <c r="A376" s="28"/>
      <c r="B376" s="28"/>
      <c r="C376" s="10"/>
      <c r="D376" s="671" t="s">
        <v>72</v>
      </c>
      <c r="E376" s="672"/>
      <c r="F376" s="672"/>
      <c r="G376" s="672"/>
      <c r="H376" s="672"/>
      <c r="I376" s="672"/>
      <c r="J376" s="672"/>
      <c r="K376" s="672"/>
      <c r="L376" s="672"/>
      <c r="M376" s="672"/>
      <c r="N376" s="672"/>
      <c r="O376" s="673"/>
      <c r="Q376" s="836"/>
      <c r="R376" s="836"/>
    </row>
    <row r="377" spans="1:18">
      <c r="A377" s="28"/>
      <c r="B377" s="28"/>
      <c r="C377" s="389" t="s">
        <v>370</v>
      </c>
      <c r="D377" s="77">
        <f t="shared" ref="D377:O377" si="101">D378*($E$494*($E$495/$F$495)+$E$496*($E$497/$F$497))</f>
        <v>47117.676161116622</v>
      </c>
      <c r="E377" s="77">
        <f t="shared" si="101"/>
        <v>47117.676161116622</v>
      </c>
      <c r="F377" s="77">
        <f t="shared" si="101"/>
        <v>47117.676161116622</v>
      </c>
      <c r="G377" s="77">
        <f t="shared" si="101"/>
        <v>47117.676161116622</v>
      </c>
      <c r="H377" s="77">
        <f t="shared" si="101"/>
        <v>0</v>
      </c>
      <c r="I377" s="77">
        <f t="shared" si="101"/>
        <v>0</v>
      </c>
      <c r="J377" s="77">
        <f t="shared" si="101"/>
        <v>0</v>
      </c>
      <c r="K377" s="77">
        <f t="shared" si="101"/>
        <v>0</v>
      </c>
      <c r="L377" s="77">
        <f t="shared" si="101"/>
        <v>0</v>
      </c>
      <c r="M377" s="77">
        <f t="shared" si="101"/>
        <v>0</v>
      </c>
      <c r="N377" s="77">
        <f t="shared" si="101"/>
        <v>0</v>
      </c>
      <c r="O377" s="77">
        <f t="shared" si="101"/>
        <v>0</v>
      </c>
      <c r="Q377" s="836"/>
      <c r="R377" s="836"/>
    </row>
    <row r="378" spans="1:18">
      <c r="A378" s="28"/>
      <c r="B378" s="28"/>
      <c r="C378" s="390" t="s">
        <v>371</v>
      </c>
      <c r="D378" s="58">
        <v>35000</v>
      </c>
      <c r="E378" s="58">
        <v>35000</v>
      </c>
      <c r="F378" s="58">
        <v>35000</v>
      </c>
      <c r="G378" s="58">
        <v>35000</v>
      </c>
      <c r="H378" s="58"/>
      <c r="I378" s="58"/>
      <c r="J378" s="58"/>
      <c r="K378" s="58"/>
      <c r="L378" s="58"/>
      <c r="M378" s="58"/>
      <c r="N378" s="58"/>
      <c r="O378" s="58"/>
      <c r="Q378" s="836"/>
      <c r="R378" s="836"/>
    </row>
    <row r="379" spans="1:18">
      <c r="A379" s="28"/>
      <c r="B379" s="28"/>
      <c r="C379" s="10"/>
      <c r="D379" s="671" t="s">
        <v>73</v>
      </c>
      <c r="E379" s="672"/>
      <c r="F379" s="672"/>
      <c r="G379" s="672"/>
      <c r="H379" s="672"/>
      <c r="I379" s="672"/>
      <c r="J379" s="672"/>
      <c r="K379" s="672"/>
      <c r="L379" s="672"/>
      <c r="M379" s="672"/>
      <c r="N379" s="672"/>
      <c r="O379" s="673"/>
    </row>
    <row r="380" spans="1:18">
      <c r="A380" s="28"/>
      <c r="B380" s="28"/>
      <c r="C380" s="389" t="s">
        <v>370</v>
      </c>
      <c r="D380" s="77">
        <f t="shared" ref="D380:O380" si="102">D381*($E$494*($E$495/$F$495)+$E$496*($E$497/$F$497))</f>
        <v>60579.869350007088</v>
      </c>
      <c r="E380" s="77">
        <f t="shared" si="102"/>
        <v>60579.869350007088</v>
      </c>
      <c r="F380" s="77">
        <f t="shared" si="102"/>
        <v>60579.869350007088</v>
      </c>
      <c r="G380" s="77">
        <f t="shared" si="102"/>
        <v>60579.869350007088</v>
      </c>
      <c r="H380" s="77">
        <f t="shared" si="102"/>
        <v>0</v>
      </c>
      <c r="I380" s="77">
        <f t="shared" si="102"/>
        <v>0</v>
      </c>
      <c r="J380" s="77">
        <f t="shared" si="102"/>
        <v>0</v>
      </c>
      <c r="K380" s="77">
        <f t="shared" si="102"/>
        <v>0</v>
      </c>
      <c r="L380" s="77">
        <f t="shared" si="102"/>
        <v>0</v>
      </c>
      <c r="M380" s="77">
        <f t="shared" si="102"/>
        <v>0</v>
      </c>
      <c r="N380" s="77">
        <f t="shared" si="102"/>
        <v>0</v>
      </c>
      <c r="O380" s="77">
        <f t="shared" si="102"/>
        <v>0</v>
      </c>
    </row>
    <row r="381" spans="1:18">
      <c r="A381" s="28"/>
      <c r="B381" s="28"/>
      <c r="C381" s="390" t="s">
        <v>371</v>
      </c>
      <c r="D381" s="58">
        <v>45000</v>
      </c>
      <c r="E381" s="58">
        <v>45000</v>
      </c>
      <c r="F381" s="58">
        <v>45000</v>
      </c>
      <c r="G381" s="58">
        <v>45000</v>
      </c>
      <c r="H381" s="58"/>
      <c r="I381" s="58"/>
      <c r="J381" s="58"/>
      <c r="K381" s="58"/>
      <c r="L381" s="58"/>
      <c r="M381" s="58"/>
      <c r="N381" s="58"/>
      <c r="O381" s="58"/>
    </row>
    <row r="382" spans="1:18">
      <c r="A382" s="28"/>
      <c r="B382" s="28"/>
      <c r="C382" s="10"/>
      <c r="D382" s="671" t="s">
        <v>74</v>
      </c>
      <c r="E382" s="672"/>
      <c r="F382" s="672"/>
      <c r="G382" s="672"/>
      <c r="H382" s="672"/>
      <c r="I382" s="672"/>
      <c r="J382" s="672"/>
      <c r="K382" s="672"/>
      <c r="L382" s="672"/>
      <c r="M382" s="672"/>
      <c r="N382" s="672"/>
      <c r="O382" s="673"/>
    </row>
    <row r="383" spans="1:18">
      <c r="A383" s="28"/>
      <c r="B383" s="28"/>
      <c r="C383" s="389" t="s">
        <v>370</v>
      </c>
      <c r="D383" s="77">
        <f t="shared" ref="D383:O383" si="103">D384*($E$494*($E$495/$F$495)+$E$496*($E$497/$F$497))</f>
        <v>80773.159133342779</v>
      </c>
      <c r="E383" s="77">
        <f t="shared" si="103"/>
        <v>80773.159133342779</v>
      </c>
      <c r="F383" s="77">
        <f t="shared" si="103"/>
        <v>80773.159133342779</v>
      </c>
      <c r="G383" s="77">
        <f t="shared" si="103"/>
        <v>80773.159133342779</v>
      </c>
      <c r="H383" s="77">
        <f t="shared" si="103"/>
        <v>0</v>
      </c>
      <c r="I383" s="77">
        <f t="shared" si="103"/>
        <v>0</v>
      </c>
      <c r="J383" s="77">
        <f t="shared" si="103"/>
        <v>0</v>
      </c>
      <c r="K383" s="77">
        <f t="shared" si="103"/>
        <v>0</v>
      </c>
      <c r="L383" s="77">
        <f t="shared" si="103"/>
        <v>0</v>
      </c>
      <c r="M383" s="77">
        <f t="shared" si="103"/>
        <v>0</v>
      </c>
      <c r="N383" s="77">
        <f t="shared" si="103"/>
        <v>0</v>
      </c>
      <c r="O383" s="77">
        <f t="shared" si="103"/>
        <v>0</v>
      </c>
    </row>
    <row r="384" spans="1:18">
      <c r="A384" s="28"/>
      <c r="B384" s="28"/>
      <c r="C384" s="390" t="s">
        <v>371</v>
      </c>
      <c r="D384" s="58">
        <v>60000</v>
      </c>
      <c r="E384" s="58">
        <v>60000</v>
      </c>
      <c r="F384" s="58">
        <v>60000</v>
      </c>
      <c r="G384" s="58">
        <v>60000</v>
      </c>
      <c r="H384" s="58"/>
      <c r="I384" s="58"/>
      <c r="J384" s="58"/>
      <c r="K384" s="58"/>
      <c r="L384" s="58"/>
      <c r="M384" s="58"/>
      <c r="N384" s="58"/>
      <c r="O384" s="58"/>
    </row>
    <row r="385" spans="1:15">
      <c r="A385" s="28"/>
      <c r="B385" s="28"/>
      <c r="C385" s="10"/>
      <c r="D385" s="671" t="s">
        <v>237</v>
      </c>
      <c r="E385" s="672"/>
      <c r="F385" s="672"/>
      <c r="G385" s="672"/>
      <c r="H385" s="672"/>
      <c r="I385" s="672"/>
      <c r="J385" s="672"/>
      <c r="K385" s="672"/>
      <c r="L385" s="672"/>
      <c r="M385" s="672"/>
      <c r="N385" s="672"/>
      <c r="O385" s="673"/>
    </row>
    <row r="386" spans="1:15">
      <c r="A386" s="28"/>
      <c r="B386" s="28"/>
      <c r="C386" s="389" t="s">
        <v>370</v>
      </c>
      <c r="D386" s="77">
        <f t="shared" ref="D386:O386" si="104">D387*($E$494*($E$495/$F$495)+$E$496*($E$497/$F$497))</f>
        <v>57102.584849316678</v>
      </c>
      <c r="E386" s="77">
        <f t="shared" si="104"/>
        <v>67838.683917456816</v>
      </c>
      <c r="F386" s="77">
        <f t="shared" si="104"/>
        <v>201382.29413193132</v>
      </c>
      <c r="G386" s="77">
        <f t="shared" si="104"/>
        <v>370786.49456297228</v>
      </c>
      <c r="H386" s="77">
        <f t="shared" si="104"/>
        <v>0</v>
      </c>
      <c r="I386" s="77">
        <f t="shared" si="104"/>
        <v>0</v>
      </c>
      <c r="J386" s="77">
        <f t="shared" si="104"/>
        <v>0</v>
      </c>
      <c r="K386" s="77">
        <f t="shared" si="104"/>
        <v>0</v>
      </c>
      <c r="L386" s="77">
        <f t="shared" si="104"/>
        <v>0</v>
      </c>
      <c r="M386" s="77">
        <f t="shared" si="104"/>
        <v>0</v>
      </c>
      <c r="N386" s="77">
        <f t="shared" si="104"/>
        <v>0</v>
      </c>
      <c r="O386" s="77">
        <f t="shared" si="104"/>
        <v>0</v>
      </c>
    </row>
    <row r="387" spans="1:15">
      <c r="A387" s="28"/>
      <c r="B387" s="28"/>
      <c r="C387" s="390" t="s">
        <v>371</v>
      </c>
      <c r="D387" s="58">
        <v>42417</v>
      </c>
      <c r="E387" s="58">
        <v>50392</v>
      </c>
      <c r="F387" s="58">
        <v>149591</v>
      </c>
      <c r="G387" s="58">
        <v>275428</v>
      </c>
      <c r="H387" s="58"/>
      <c r="I387" s="58"/>
      <c r="J387" s="58"/>
      <c r="K387" s="58"/>
      <c r="L387" s="58"/>
      <c r="M387" s="58"/>
      <c r="N387" s="58"/>
      <c r="O387" s="58"/>
    </row>
    <row r="388" spans="1:15">
      <c r="A388" s="28"/>
      <c r="B388" s="28"/>
      <c r="C388" s="10"/>
      <c r="D388" s="671" t="s">
        <v>238</v>
      </c>
      <c r="E388" s="672"/>
      <c r="F388" s="672"/>
      <c r="G388" s="672"/>
      <c r="H388" s="672"/>
      <c r="I388" s="672"/>
      <c r="J388" s="672"/>
      <c r="K388" s="672"/>
      <c r="L388" s="672"/>
      <c r="M388" s="672"/>
      <c r="N388" s="672"/>
      <c r="O388" s="673"/>
    </row>
    <row r="389" spans="1:15">
      <c r="A389" s="28"/>
      <c r="B389" s="28"/>
      <c r="C389" s="423" t="s">
        <v>370</v>
      </c>
      <c r="D389" s="77">
        <f t="shared" ref="D389:O389" si="105">D390*($E$494*($E$495/$F$495)+$E$496*($E$497/$F$497))</f>
        <v>2306729.3020652356</v>
      </c>
      <c r="E389" s="77">
        <f t="shared" si="105"/>
        <v>2306726.6096265977</v>
      </c>
      <c r="F389" s="77">
        <f t="shared" si="105"/>
        <v>2739556.3139392091</v>
      </c>
      <c r="G389" s="77">
        <f t="shared" si="105"/>
        <v>3091933.2593163736</v>
      </c>
      <c r="H389" s="77">
        <f t="shared" si="105"/>
        <v>3819088.2395370165</v>
      </c>
      <c r="I389" s="77">
        <f t="shared" si="105"/>
        <v>4582904.8104689652</v>
      </c>
      <c r="J389" s="77">
        <f t="shared" si="105"/>
        <v>5855934.2236479707</v>
      </c>
      <c r="K389" s="77">
        <f t="shared" si="105"/>
        <v>7383570.0579505051</v>
      </c>
      <c r="L389" s="77">
        <f t="shared" si="105"/>
        <v>8912740.5822765715</v>
      </c>
      <c r="M389" s="77">
        <f t="shared" si="105"/>
        <v>0</v>
      </c>
      <c r="N389" s="77">
        <f t="shared" si="105"/>
        <v>0</v>
      </c>
      <c r="O389" s="77">
        <f t="shared" si="105"/>
        <v>0</v>
      </c>
    </row>
    <row r="390" spans="1:15">
      <c r="A390" s="28"/>
      <c r="B390" s="28"/>
      <c r="C390" s="52" t="s">
        <v>371</v>
      </c>
      <c r="D390" s="58">
        <v>1713487</v>
      </c>
      <c r="E390" s="58">
        <v>1713485</v>
      </c>
      <c r="F390" s="58">
        <v>2035000</v>
      </c>
      <c r="G390" s="58">
        <v>2296753</v>
      </c>
      <c r="H390" s="58">
        <v>2836899</v>
      </c>
      <c r="I390" s="58">
        <v>3404278</v>
      </c>
      <c r="J390" s="58">
        <v>4349911</v>
      </c>
      <c r="K390" s="58">
        <v>5484671</v>
      </c>
      <c r="L390" s="58">
        <v>6620571</v>
      </c>
      <c r="M390" s="58"/>
      <c r="N390" s="58"/>
      <c r="O390" s="58"/>
    </row>
    <row r="391" spans="1:15">
      <c r="A391" s="28"/>
      <c r="B391" s="28"/>
      <c r="C391" s="10"/>
      <c r="D391" s="669" t="s">
        <v>239</v>
      </c>
      <c r="E391" s="669"/>
      <c r="F391" s="669"/>
      <c r="G391" s="669"/>
      <c r="H391" s="669"/>
      <c r="I391" s="669"/>
      <c r="J391" s="669"/>
      <c r="K391" s="669"/>
      <c r="L391" s="669"/>
      <c r="M391" s="669"/>
      <c r="N391" s="669"/>
      <c r="O391" s="669"/>
    </row>
    <row r="392" spans="1:15">
      <c r="A392" s="28"/>
      <c r="B392" s="28"/>
      <c r="C392" s="423" t="s">
        <v>370</v>
      </c>
      <c r="D392" s="77">
        <f t="shared" ref="D392:O392" si="106">D393*($E$494*($E$495/$F$495)+$E$496*($E$497/$F$497))</f>
        <v>16527160.329030171</v>
      </c>
      <c r="E392" s="77">
        <f t="shared" si="106"/>
        <v>16527160.329030171</v>
      </c>
      <c r="F392" s="77">
        <f t="shared" si="106"/>
        <v>19628282.881417282</v>
      </c>
      <c r="G392" s="77">
        <f t="shared" si="106"/>
        <v>22145664.543844316</v>
      </c>
      <c r="H392" s="77">
        <f t="shared" si="106"/>
        <v>27362847.317504451</v>
      </c>
      <c r="I392" s="77">
        <f t="shared" si="106"/>
        <v>27727687.561335891</v>
      </c>
      <c r="J392" s="77">
        <f t="shared" si="106"/>
        <v>32835417.31949307</v>
      </c>
      <c r="K392" s="77">
        <f t="shared" si="106"/>
        <v>41956366.874067657</v>
      </c>
      <c r="L392" s="77">
        <f t="shared" si="106"/>
        <v>53060562.690571636</v>
      </c>
      <c r="M392" s="77">
        <f t="shared" si="106"/>
        <v>0</v>
      </c>
      <c r="N392" s="77">
        <f t="shared" si="106"/>
        <v>0</v>
      </c>
      <c r="O392" s="77">
        <f t="shared" si="106"/>
        <v>0</v>
      </c>
    </row>
    <row r="393" spans="1:15">
      <c r="A393" s="28"/>
      <c r="B393" s="28"/>
      <c r="C393" s="52" t="s">
        <v>371</v>
      </c>
      <c r="D393" s="107">
        <v>12276722</v>
      </c>
      <c r="E393" s="107">
        <v>12276722</v>
      </c>
      <c r="F393" s="107">
        <v>14580301</v>
      </c>
      <c r="G393" s="107">
        <v>16450265</v>
      </c>
      <c r="H393" s="107">
        <v>20325698</v>
      </c>
      <c r="I393" s="388">
        <v>20596709</v>
      </c>
      <c r="J393" s="424">
        <v>24390838</v>
      </c>
      <c r="K393" s="388">
        <v>31166071</v>
      </c>
      <c r="L393" s="424">
        <v>39414501</v>
      </c>
      <c r="M393" s="425"/>
      <c r="N393" s="58"/>
      <c r="O393" s="58"/>
    </row>
    <row r="394" spans="1:15">
      <c r="C394" s="10"/>
      <c r="D394" s="669" t="s">
        <v>240</v>
      </c>
      <c r="E394" s="669"/>
      <c r="F394" s="669"/>
      <c r="G394" s="669"/>
      <c r="H394" s="669"/>
      <c r="I394" s="669"/>
      <c r="J394" s="669"/>
      <c r="K394" s="669"/>
      <c r="L394" s="669"/>
      <c r="M394" s="669"/>
      <c r="N394" s="669"/>
      <c r="O394" s="669"/>
    </row>
    <row r="395" spans="1:15">
      <c r="A395" s="28"/>
      <c r="B395" s="28"/>
      <c r="C395" s="423" t="s">
        <v>370</v>
      </c>
      <c r="D395" s="77">
        <f t="shared" ref="D395:O395" si="107">D396*($E$494*($E$495/$F$495)+$E$496*($E$497/$F$497))</f>
        <v>1346219.3188890463</v>
      </c>
      <c r="E395" s="77">
        <f t="shared" si="107"/>
        <v>1346219.3188890463</v>
      </c>
      <c r="F395" s="77">
        <f t="shared" si="107"/>
        <v>1346219.3188890463</v>
      </c>
      <c r="G395" s="77">
        <f t="shared" si="107"/>
        <v>1346219.3188890463</v>
      </c>
      <c r="H395" s="77">
        <f t="shared" si="107"/>
        <v>1346219.3188890463</v>
      </c>
      <c r="I395" s="77">
        <f t="shared" si="107"/>
        <v>2019328.9783335696</v>
      </c>
      <c r="J395" s="77">
        <f t="shared" si="107"/>
        <v>2019328.9783335696</v>
      </c>
      <c r="K395" s="77">
        <f t="shared" si="107"/>
        <v>2692438.6377780926</v>
      </c>
      <c r="L395" s="77">
        <f t="shared" si="107"/>
        <v>2692438.6377780926</v>
      </c>
      <c r="M395" s="77">
        <f t="shared" si="107"/>
        <v>0</v>
      </c>
      <c r="N395" s="77">
        <f t="shared" si="107"/>
        <v>0</v>
      </c>
      <c r="O395" s="77">
        <f t="shared" si="107"/>
        <v>0</v>
      </c>
    </row>
    <row r="396" spans="1:15">
      <c r="A396" s="28"/>
      <c r="B396" s="28"/>
      <c r="C396" s="52" t="s">
        <v>371</v>
      </c>
      <c r="D396" s="58">
        <v>1000000</v>
      </c>
      <c r="E396" s="58">
        <v>1000000</v>
      </c>
      <c r="F396" s="58">
        <v>1000000</v>
      </c>
      <c r="G396" s="58">
        <v>1000000</v>
      </c>
      <c r="H396" s="58">
        <v>1000000</v>
      </c>
      <c r="I396" s="58">
        <v>1500000</v>
      </c>
      <c r="J396" s="58">
        <f>I396</f>
        <v>1500000</v>
      </c>
      <c r="K396" s="58">
        <v>2000000</v>
      </c>
      <c r="L396" s="58">
        <v>2000000</v>
      </c>
      <c r="M396" s="58"/>
      <c r="N396" s="58"/>
      <c r="O396" s="58"/>
    </row>
    <row r="397" spans="1:15">
      <c r="A397" s="28"/>
      <c r="B397" s="28"/>
      <c r="C397" s="29"/>
      <c r="D397" s="669" t="s">
        <v>75</v>
      </c>
      <c r="E397" s="669"/>
      <c r="F397" s="669"/>
      <c r="G397" s="669"/>
      <c r="H397" s="669"/>
      <c r="I397" s="669"/>
      <c r="J397" s="669"/>
      <c r="K397" s="669"/>
      <c r="L397" s="669"/>
      <c r="M397" s="669"/>
      <c r="N397" s="669"/>
      <c r="O397" s="669"/>
    </row>
    <row r="398" spans="1:15">
      <c r="A398" s="28"/>
      <c r="B398" s="28"/>
      <c r="C398" s="423" t="s">
        <v>370</v>
      </c>
      <c r="D398" s="77">
        <f t="shared" ref="D398:O398" si="108">D399*($E$494*($E$495/$F$495)+$E$496*($E$497/$F$497))</f>
        <v>294598.55842976557</v>
      </c>
      <c r="E398" s="77">
        <f t="shared" si="108"/>
        <v>324057.87578501459</v>
      </c>
      <c r="F398" s="77">
        <f t="shared" si="108"/>
        <v>353518.53935958247</v>
      </c>
      <c r="G398" s="77">
        <f t="shared" si="108"/>
        <v>382977.85671483143</v>
      </c>
      <c r="H398" s="77">
        <f t="shared" si="108"/>
        <v>412346.97737571487</v>
      </c>
      <c r="I398" s="77">
        <f t="shared" si="108"/>
        <v>441896.49142532947</v>
      </c>
      <c r="J398" s="77">
        <f t="shared" si="108"/>
        <v>471357.15499989735</v>
      </c>
      <c r="K398" s="77">
        <f t="shared" si="108"/>
        <v>501062.83049050305</v>
      </c>
      <c r="L398" s="77">
        <f t="shared" si="108"/>
        <v>530275.78971039539</v>
      </c>
      <c r="M398" s="77">
        <f t="shared" si="108"/>
        <v>0</v>
      </c>
      <c r="N398" s="77">
        <f t="shared" si="108"/>
        <v>0</v>
      </c>
      <c r="O398" s="77">
        <f t="shared" si="108"/>
        <v>0</v>
      </c>
    </row>
    <row r="399" spans="1:15">
      <c r="A399" s="28"/>
      <c r="B399" s="28"/>
      <c r="C399" s="52" t="s">
        <v>371</v>
      </c>
      <c r="D399" s="58">
        <v>218834</v>
      </c>
      <c r="E399" s="58">
        <v>240717</v>
      </c>
      <c r="F399" s="58">
        <v>262601</v>
      </c>
      <c r="G399" s="58">
        <v>284484</v>
      </c>
      <c r="H399" s="58">
        <v>306300</v>
      </c>
      <c r="I399" s="58">
        <v>328250</v>
      </c>
      <c r="J399" s="58">
        <v>350134</v>
      </c>
      <c r="K399" s="58">
        <v>372200</v>
      </c>
      <c r="L399" s="58">
        <v>393900</v>
      </c>
      <c r="M399" s="58"/>
      <c r="N399" s="58"/>
      <c r="O399" s="58"/>
    </row>
    <row r="400" spans="1:15">
      <c r="A400" s="28"/>
      <c r="B400" s="28"/>
      <c r="C400" s="29"/>
      <c r="D400" s="669" t="s">
        <v>381</v>
      </c>
      <c r="E400" s="669"/>
      <c r="F400" s="669"/>
      <c r="G400" s="669"/>
      <c r="H400" s="669"/>
      <c r="I400" s="669"/>
      <c r="J400" s="669"/>
      <c r="K400" s="669"/>
      <c r="L400" s="669"/>
      <c r="M400" s="669"/>
      <c r="N400" s="669"/>
      <c r="O400" s="669"/>
    </row>
    <row r="401" spans="1:15">
      <c r="A401" s="28"/>
      <c r="B401" s="28"/>
      <c r="C401" s="423" t="s">
        <v>370</v>
      </c>
      <c r="D401" s="77">
        <f t="shared" ref="D401:O401" si="109">D402*($E$494*($E$495/$F$495)+$E$496*($E$497/$F$497))</f>
        <v>308024.40369704604</v>
      </c>
      <c r="E401" s="77">
        <f t="shared" si="109"/>
        <v>513374.00616174337</v>
      </c>
      <c r="F401" s="77">
        <f t="shared" si="109"/>
        <v>787173.47611467319</v>
      </c>
      <c r="G401" s="77">
        <f t="shared" si="109"/>
        <v>1882370.0097070734</v>
      </c>
      <c r="H401" s="77">
        <f t="shared" si="109"/>
        <v>0</v>
      </c>
      <c r="I401" s="77">
        <f t="shared" si="109"/>
        <v>0</v>
      </c>
      <c r="J401" s="77">
        <f t="shared" si="109"/>
        <v>0</v>
      </c>
      <c r="K401" s="77">
        <f t="shared" si="109"/>
        <v>0</v>
      </c>
      <c r="L401" s="77">
        <f t="shared" si="109"/>
        <v>0</v>
      </c>
      <c r="M401" s="77">
        <f t="shared" si="109"/>
        <v>0</v>
      </c>
      <c r="N401" s="77">
        <f t="shared" si="109"/>
        <v>0</v>
      </c>
      <c r="O401" s="77">
        <f t="shared" si="109"/>
        <v>0</v>
      </c>
    </row>
    <row r="402" spans="1:15">
      <c r="A402" s="28"/>
      <c r="B402" s="28"/>
      <c r="C402" s="52" t="s">
        <v>371</v>
      </c>
      <c r="D402" s="58">
        <v>228807</v>
      </c>
      <c r="E402" s="58">
        <v>381345</v>
      </c>
      <c r="F402" s="58">
        <v>584729</v>
      </c>
      <c r="G402" s="58">
        <v>1398264</v>
      </c>
      <c r="H402" s="58"/>
      <c r="I402" s="58"/>
      <c r="J402" s="58"/>
      <c r="K402" s="58"/>
      <c r="L402" s="58"/>
      <c r="M402" s="58"/>
      <c r="N402" s="58"/>
      <c r="O402" s="58"/>
    </row>
    <row r="403" spans="1:15">
      <c r="C403" s="29"/>
      <c r="D403" s="669" t="s">
        <v>76</v>
      </c>
      <c r="E403" s="669"/>
      <c r="F403" s="669"/>
      <c r="G403" s="669"/>
      <c r="H403" s="669"/>
      <c r="I403" s="669"/>
      <c r="J403" s="669"/>
      <c r="K403" s="669"/>
      <c r="L403" s="669"/>
      <c r="M403" s="669"/>
      <c r="N403" s="669"/>
      <c r="O403" s="669"/>
    </row>
    <row r="404" spans="1:15">
      <c r="C404" s="423" t="s">
        <v>370</v>
      </c>
      <c r="D404" s="77">
        <f t="shared" ref="D404:O404" si="110">D405*($E$494*($E$495/$F$495)+$E$496*($E$497/$F$497))</f>
        <v>277859.66741869919</v>
      </c>
      <c r="E404" s="77">
        <f t="shared" si="110"/>
        <v>277859.66741869919</v>
      </c>
      <c r="F404" s="77">
        <f t="shared" si="110"/>
        <v>305645.63416056905</v>
      </c>
      <c r="G404" s="77">
        <f t="shared" si="110"/>
        <v>305645.63416056905</v>
      </c>
      <c r="H404" s="77">
        <f t="shared" si="110"/>
        <v>417058.74499182653</v>
      </c>
      <c r="I404" s="77">
        <f t="shared" si="110"/>
        <v>500147.40135365847</v>
      </c>
      <c r="J404" s="77">
        <f t="shared" si="110"/>
        <v>500147.40135365847</v>
      </c>
      <c r="K404" s="77">
        <f t="shared" si="110"/>
        <v>500147.40135365847</v>
      </c>
      <c r="L404" s="77">
        <f t="shared" si="110"/>
        <v>500147.40135365847</v>
      </c>
      <c r="M404" s="77">
        <f t="shared" si="110"/>
        <v>0</v>
      </c>
      <c r="N404" s="77">
        <f t="shared" si="110"/>
        <v>0</v>
      </c>
      <c r="O404" s="77">
        <f t="shared" si="110"/>
        <v>0</v>
      </c>
    </row>
    <row r="405" spans="1:15">
      <c r="C405" s="52" t="s">
        <v>371</v>
      </c>
      <c r="D405" s="58">
        <v>206400</v>
      </c>
      <c r="E405" s="58">
        <v>206400</v>
      </c>
      <c r="F405" s="58">
        <v>227040</v>
      </c>
      <c r="G405" s="58">
        <v>227040</v>
      </c>
      <c r="H405" s="58">
        <v>309800</v>
      </c>
      <c r="I405" s="58">
        <v>371520</v>
      </c>
      <c r="J405" s="58">
        <v>371520</v>
      </c>
      <c r="K405" s="58">
        <v>371520</v>
      </c>
      <c r="L405" s="58">
        <v>371520</v>
      </c>
      <c r="M405" s="58"/>
      <c r="N405" s="58"/>
      <c r="O405" s="58"/>
    </row>
    <row r="406" spans="1:15">
      <c r="C406" s="29"/>
      <c r="D406" s="669" t="s">
        <v>77</v>
      </c>
      <c r="E406" s="669"/>
      <c r="F406" s="669"/>
      <c r="G406" s="669"/>
      <c r="H406" s="669"/>
      <c r="I406" s="669"/>
      <c r="J406" s="669"/>
      <c r="K406" s="669"/>
      <c r="L406" s="669"/>
      <c r="M406" s="669"/>
      <c r="N406" s="669"/>
      <c r="O406" s="669"/>
    </row>
    <row r="407" spans="1:15">
      <c r="C407" s="423" t="s">
        <v>370</v>
      </c>
      <c r="D407" s="77">
        <f>D408*1.15</f>
        <v>184000</v>
      </c>
      <c r="E407" s="77">
        <f t="shared" ref="E407:G407" si="111">E408*1.15</f>
        <v>184000</v>
      </c>
      <c r="F407" s="77">
        <f t="shared" si="111"/>
        <v>184000</v>
      </c>
      <c r="G407" s="77">
        <f t="shared" si="111"/>
        <v>184000</v>
      </c>
      <c r="H407" s="77">
        <f t="shared" ref="H407" si="112">H408*1.15</f>
        <v>220799.99999999997</v>
      </c>
      <c r="I407" s="77">
        <f t="shared" ref="I407" si="113">I408*1.15</f>
        <v>220799.99999999997</v>
      </c>
      <c r="J407" s="77">
        <f t="shared" ref="J407" si="114">J408*1.15</f>
        <v>220799.99999999997</v>
      </c>
      <c r="K407" s="77">
        <f t="shared" ref="K407" si="115">K408*1.15</f>
        <v>220799.99999999997</v>
      </c>
      <c r="L407" s="77">
        <f t="shared" ref="L407:O407" si="116">L408*($E$494*($E$495/$F$495)+$E$496*($E$497/$F$497))</f>
        <v>0</v>
      </c>
      <c r="M407" s="77">
        <f t="shared" si="116"/>
        <v>0</v>
      </c>
      <c r="N407" s="77">
        <f t="shared" si="116"/>
        <v>0</v>
      </c>
      <c r="O407" s="77">
        <f t="shared" si="116"/>
        <v>0</v>
      </c>
    </row>
    <row r="408" spans="1:15">
      <c r="C408" s="52" t="s">
        <v>371</v>
      </c>
      <c r="D408" s="58">
        <v>160000</v>
      </c>
      <c r="E408" s="58">
        <v>160000</v>
      </c>
      <c r="F408" s="58">
        <v>160000</v>
      </c>
      <c r="G408" s="58">
        <v>160000</v>
      </c>
      <c r="H408" s="58">
        <v>192000</v>
      </c>
      <c r="I408" s="58">
        <v>192000</v>
      </c>
      <c r="J408" s="58">
        <v>192000</v>
      </c>
      <c r="K408" s="58">
        <v>192000</v>
      </c>
      <c r="L408" s="58"/>
      <c r="M408" s="58"/>
      <c r="N408" s="58"/>
      <c r="O408" s="58"/>
    </row>
    <row r="409" spans="1:15">
      <c r="C409" s="29"/>
      <c r="D409" s="669" t="s">
        <v>63</v>
      </c>
      <c r="E409" s="669"/>
      <c r="F409" s="669"/>
      <c r="G409" s="669"/>
      <c r="H409" s="669"/>
      <c r="I409" s="669"/>
      <c r="J409" s="669"/>
      <c r="K409" s="669"/>
      <c r="L409" s="669"/>
      <c r="M409" s="669"/>
      <c r="N409" s="669"/>
      <c r="O409" s="669"/>
    </row>
    <row r="410" spans="1:15">
      <c r="C410" s="423" t="s">
        <v>370</v>
      </c>
      <c r="D410" s="77">
        <f t="shared" ref="D410:O410" si="117">D411*($E$494*($E$495/$F$495)+$E$496*($E$497/$F$497))</f>
        <v>465791.88433561003</v>
      </c>
      <c r="E410" s="77">
        <f t="shared" si="117"/>
        <v>465791.88433561003</v>
      </c>
      <c r="F410" s="77">
        <f t="shared" si="117"/>
        <v>465791.88433561003</v>
      </c>
      <c r="G410" s="77">
        <f t="shared" si="117"/>
        <v>465791.88433561003</v>
      </c>
      <c r="H410" s="77">
        <f t="shared" si="117"/>
        <v>465791.88433561003</v>
      </c>
      <c r="I410" s="77">
        <f t="shared" si="117"/>
        <v>465791.88433561003</v>
      </c>
      <c r="J410" s="77">
        <f t="shared" si="117"/>
        <v>465791.88433561003</v>
      </c>
      <c r="K410" s="77">
        <f t="shared" si="117"/>
        <v>465791.88433561003</v>
      </c>
      <c r="L410" s="77">
        <f t="shared" si="117"/>
        <v>0</v>
      </c>
      <c r="M410" s="77">
        <f t="shared" si="117"/>
        <v>0</v>
      </c>
      <c r="N410" s="77">
        <f t="shared" si="117"/>
        <v>0</v>
      </c>
      <c r="O410" s="77">
        <f t="shared" si="117"/>
        <v>0</v>
      </c>
    </row>
    <row r="411" spans="1:15">
      <c r="C411" s="52" t="s">
        <v>371</v>
      </c>
      <c r="D411" s="58">
        <v>346000</v>
      </c>
      <c r="E411" s="58">
        <v>346000</v>
      </c>
      <c r="F411" s="58">
        <v>346000</v>
      </c>
      <c r="G411" s="58">
        <v>346000</v>
      </c>
      <c r="H411" s="58">
        <v>346000</v>
      </c>
      <c r="I411" s="58">
        <v>346000</v>
      </c>
      <c r="J411" s="58">
        <v>346000</v>
      </c>
      <c r="K411" s="58">
        <v>346000</v>
      </c>
      <c r="L411" s="58"/>
      <c r="M411" s="58"/>
      <c r="N411" s="58"/>
      <c r="O411" s="58"/>
    </row>
    <row r="412" spans="1:15">
      <c r="C412" s="29"/>
      <c r="D412" s="669" t="s">
        <v>78</v>
      </c>
      <c r="E412" s="669"/>
      <c r="F412" s="669"/>
      <c r="G412" s="669"/>
      <c r="H412" s="669"/>
      <c r="I412" s="669"/>
      <c r="J412" s="669"/>
      <c r="K412" s="669"/>
      <c r="L412" s="669"/>
      <c r="M412" s="669"/>
      <c r="N412" s="669"/>
      <c r="O412" s="669"/>
    </row>
    <row r="413" spans="1:15">
      <c r="C413" s="423" t="s">
        <v>370</v>
      </c>
      <c r="D413" s="77">
        <f t="shared" ref="D413:O413" si="118">D414*($E$494*($E$495/$F$495)+$E$496*($E$497/$F$497))</f>
        <v>2019328.9783335696</v>
      </c>
      <c r="E413" s="77">
        <f t="shared" si="118"/>
        <v>2019328.9783335696</v>
      </c>
      <c r="F413" s="77">
        <f t="shared" si="118"/>
        <v>2019328.9783335696</v>
      </c>
      <c r="G413" s="77">
        <f t="shared" si="118"/>
        <v>2625127.6718336404</v>
      </c>
      <c r="H413" s="77">
        <f t="shared" si="118"/>
        <v>3028993.4675003542</v>
      </c>
      <c r="I413" s="77">
        <f t="shared" si="118"/>
        <v>3028993.4675003542</v>
      </c>
      <c r="J413" s="77">
        <f t="shared" si="118"/>
        <v>3028993.4675003542</v>
      </c>
      <c r="K413" s="77">
        <f t="shared" si="118"/>
        <v>3028993.4675003542</v>
      </c>
      <c r="L413" s="77">
        <f t="shared" si="118"/>
        <v>0</v>
      </c>
      <c r="M413" s="77">
        <f t="shared" si="118"/>
        <v>0</v>
      </c>
      <c r="N413" s="77">
        <f t="shared" si="118"/>
        <v>0</v>
      </c>
      <c r="O413" s="77">
        <f t="shared" si="118"/>
        <v>0</v>
      </c>
    </row>
    <row r="414" spans="1:15">
      <c r="C414" s="52" t="s">
        <v>371</v>
      </c>
      <c r="D414" s="58">
        <v>1500000</v>
      </c>
      <c r="E414" s="58">
        <v>1500000</v>
      </c>
      <c r="F414" s="58">
        <v>1500000</v>
      </c>
      <c r="G414" s="58">
        <v>1950000</v>
      </c>
      <c r="H414" s="58">
        <v>2250000</v>
      </c>
      <c r="I414" s="58">
        <v>2250000</v>
      </c>
      <c r="J414" s="58">
        <v>2250000</v>
      </c>
      <c r="K414" s="58">
        <v>2250000</v>
      </c>
      <c r="L414" s="58"/>
      <c r="M414" s="58"/>
      <c r="N414" s="58"/>
      <c r="O414" s="58"/>
    </row>
    <row r="415" spans="1:15">
      <c r="C415" s="29"/>
      <c r="D415" s="669" t="s">
        <v>382</v>
      </c>
      <c r="E415" s="669"/>
      <c r="F415" s="669"/>
      <c r="G415" s="669"/>
      <c r="H415" s="669"/>
      <c r="I415" s="669"/>
      <c r="J415" s="669"/>
      <c r="K415" s="669"/>
      <c r="L415" s="669"/>
      <c r="M415" s="669"/>
      <c r="N415" s="669"/>
      <c r="O415" s="669"/>
    </row>
    <row r="416" spans="1:15">
      <c r="C416" s="423" t="s">
        <v>370</v>
      </c>
      <c r="D416" s="77">
        <f t="shared" ref="D416:O416" si="119">D417*($E$494*($E$495/$F$495)+$E$496*($E$497/$F$497))</f>
        <v>2019328.9783335696</v>
      </c>
      <c r="E416" s="77">
        <f t="shared" si="119"/>
        <v>2019328.9783335696</v>
      </c>
      <c r="F416" s="77">
        <f t="shared" si="119"/>
        <v>2019328.9783335696</v>
      </c>
      <c r="G416" s="77">
        <f t="shared" si="119"/>
        <v>3028993.4675003542</v>
      </c>
      <c r="H416" s="77">
        <f t="shared" si="119"/>
        <v>3028993.4675003542</v>
      </c>
      <c r="I416" s="77">
        <f t="shared" si="119"/>
        <v>3028993.4675003542</v>
      </c>
      <c r="J416" s="77">
        <f t="shared" si="119"/>
        <v>3028993.4675003542</v>
      </c>
      <c r="K416" s="77">
        <f t="shared" si="119"/>
        <v>3028993.4675003542</v>
      </c>
      <c r="L416" s="77">
        <f t="shared" si="119"/>
        <v>0</v>
      </c>
      <c r="M416" s="77">
        <f t="shared" si="119"/>
        <v>0</v>
      </c>
      <c r="N416" s="77">
        <f t="shared" si="119"/>
        <v>0</v>
      </c>
      <c r="O416" s="77">
        <f t="shared" si="119"/>
        <v>0</v>
      </c>
    </row>
    <row r="417" spans="3:16">
      <c r="C417" s="52" t="s">
        <v>371</v>
      </c>
      <c r="D417" s="58">
        <v>1500000</v>
      </c>
      <c r="E417" s="58">
        <v>1500000</v>
      </c>
      <c r="F417" s="58">
        <v>1500000</v>
      </c>
      <c r="G417" s="58">
        <v>2250000</v>
      </c>
      <c r="H417" s="58">
        <v>2250000</v>
      </c>
      <c r="I417" s="58">
        <v>2250000</v>
      </c>
      <c r="J417" s="58">
        <v>2250000</v>
      </c>
      <c r="K417" s="58">
        <v>2250000</v>
      </c>
      <c r="L417" s="58"/>
      <c r="M417" s="58"/>
      <c r="N417" s="58"/>
      <c r="O417" s="58"/>
    </row>
    <row r="418" spans="3:16" s="28" customFormat="1">
      <c r="C418" s="29"/>
      <c r="D418" s="669" t="s">
        <v>388</v>
      </c>
      <c r="E418" s="669"/>
      <c r="F418" s="669"/>
      <c r="G418" s="669"/>
      <c r="H418" s="669"/>
      <c r="I418" s="669"/>
      <c r="J418" s="669"/>
      <c r="K418" s="669"/>
      <c r="L418" s="669"/>
      <c r="M418" s="669"/>
      <c r="N418" s="669"/>
      <c r="O418" s="669"/>
    </row>
    <row r="419" spans="3:16" s="28" customFormat="1">
      <c r="C419" s="423" t="s">
        <v>370</v>
      </c>
      <c r="D419" s="77">
        <f t="shared" ref="D419:O419" si="120">D420*($E$494*($E$495/$F$495)+$E$496*($E$497/$F$497))</f>
        <v>201932.89783335695</v>
      </c>
      <c r="E419" s="77">
        <f t="shared" si="120"/>
        <v>201932.89783335695</v>
      </c>
      <c r="F419" s="77">
        <f t="shared" si="120"/>
        <v>201932.89783335695</v>
      </c>
      <c r="G419" s="77">
        <f t="shared" si="120"/>
        <v>269243.86377780925</v>
      </c>
      <c r="H419" s="77">
        <f t="shared" si="120"/>
        <v>269243.86377780925</v>
      </c>
      <c r="I419" s="77">
        <f t="shared" si="120"/>
        <v>336554.82972226158</v>
      </c>
      <c r="J419" s="77">
        <f t="shared" si="120"/>
        <v>336554.82972226158</v>
      </c>
      <c r="K419" s="77">
        <f t="shared" si="120"/>
        <v>336554.82972226158</v>
      </c>
      <c r="L419" s="77">
        <f t="shared" si="120"/>
        <v>336554.82972226158</v>
      </c>
      <c r="M419" s="77">
        <f t="shared" si="120"/>
        <v>0</v>
      </c>
      <c r="N419" s="77">
        <f t="shared" si="120"/>
        <v>0</v>
      </c>
      <c r="O419" s="77">
        <f t="shared" si="120"/>
        <v>0</v>
      </c>
    </row>
    <row r="420" spans="3:16" s="28" customFormat="1">
      <c r="C420" s="52" t="s">
        <v>371</v>
      </c>
      <c r="D420" s="157">
        <v>150000</v>
      </c>
      <c r="E420" s="157">
        <v>150000</v>
      </c>
      <c r="F420" s="157">
        <v>150000</v>
      </c>
      <c r="G420" s="157">
        <v>200000</v>
      </c>
      <c r="H420" s="157">
        <v>200000</v>
      </c>
      <c r="I420" s="157">
        <v>250000</v>
      </c>
      <c r="J420" s="157">
        <v>250000</v>
      </c>
      <c r="K420" s="157">
        <v>250000</v>
      </c>
      <c r="L420" s="157">
        <v>250000</v>
      </c>
      <c r="M420" s="157"/>
      <c r="N420" s="157"/>
      <c r="O420" s="157"/>
    </row>
    <row r="421" spans="3:16" s="28" customFormat="1">
      <c r="C421" s="29"/>
      <c r="D421" s="669" t="s">
        <v>389</v>
      </c>
      <c r="E421" s="669"/>
      <c r="F421" s="669"/>
      <c r="G421" s="669"/>
      <c r="H421" s="669"/>
      <c r="I421" s="669"/>
      <c r="J421" s="669"/>
      <c r="K421" s="669"/>
      <c r="L421" s="669"/>
      <c r="M421" s="669"/>
      <c r="N421" s="669"/>
      <c r="O421" s="669"/>
    </row>
    <row r="422" spans="3:16" s="28" customFormat="1">
      <c r="C422" s="423" t="s">
        <v>370</v>
      </c>
      <c r="D422" s="77">
        <f t="shared" ref="D422:O422" si="121">D423*($E$494*($E$495/$F$495)+$E$496*($E$497/$F$497))</f>
        <v>0</v>
      </c>
      <c r="E422" s="77">
        <f t="shared" si="121"/>
        <v>0</v>
      </c>
      <c r="F422" s="77">
        <f>F423*1.05</f>
        <v>105000</v>
      </c>
      <c r="G422" s="77">
        <f t="shared" ref="G422:L422" si="122">G423*1.05</f>
        <v>105000</v>
      </c>
      <c r="H422" s="77">
        <f t="shared" si="122"/>
        <v>157500</v>
      </c>
      <c r="I422" s="77">
        <f t="shared" si="122"/>
        <v>157500</v>
      </c>
      <c r="J422" s="77">
        <f t="shared" si="122"/>
        <v>157500</v>
      </c>
      <c r="K422" s="77">
        <f t="shared" si="122"/>
        <v>157500</v>
      </c>
      <c r="L422" s="77">
        <f t="shared" si="122"/>
        <v>157500</v>
      </c>
      <c r="M422" s="77">
        <f t="shared" si="121"/>
        <v>0</v>
      </c>
      <c r="N422" s="77">
        <f t="shared" si="121"/>
        <v>0</v>
      </c>
      <c r="O422" s="77">
        <f t="shared" si="121"/>
        <v>0</v>
      </c>
    </row>
    <row r="423" spans="3:16" s="28" customFormat="1">
      <c r="C423" s="52" t="s">
        <v>371</v>
      </c>
      <c r="D423" s="157"/>
      <c r="E423" s="157"/>
      <c r="F423" s="157">
        <v>100000</v>
      </c>
      <c r="G423" s="157">
        <v>100000</v>
      </c>
      <c r="H423" s="157">
        <v>150000</v>
      </c>
      <c r="I423" s="157">
        <v>150000</v>
      </c>
      <c r="J423" s="157">
        <v>150000</v>
      </c>
      <c r="K423" s="157">
        <v>150000</v>
      </c>
      <c r="L423" s="157">
        <v>150000</v>
      </c>
      <c r="M423" s="157"/>
      <c r="N423" s="157"/>
      <c r="O423" s="157"/>
    </row>
    <row r="424" spans="3:16" s="28" customFormat="1">
      <c r="C424" s="29"/>
      <c r="D424" s="669" t="s">
        <v>390</v>
      </c>
      <c r="E424" s="669"/>
      <c r="F424" s="669"/>
      <c r="G424" s="669"/>
      <c r="H424" s="669"/>
      <c r="I424" s="669"/>
      <c r="J424" s="669"/>
      <c r="K424" s="669"/>
      <c r="L424" s="669"/>
      <c r="M424" s="669"/>
      <c r="N424" s="669"/>
      <c r="O424" s="669"/>
    </row>
    <row r="425" spans="3:16" s="28" customFormat="1">
      <c r="C425" s="423" t="s">
        <v>370</v>
      </c>
      <c r="D425" s="77">
        <f t="shared" ref="D425:O425" si="123">D426*($E$494*($E$495/$F$495)+$E$496*($E$497/$F$497))</f>
        <v>0</v>
      </c>
      <c r="E425" s="77">
        <f t="shared" si="123"/>
        <v>0</v>
      </c>
      <c r="F425" s="77">
        <f t="shared" si="123"/>
        <v>215395.09102224742</v>
      </c>
      <c r="G425" s="77">
        <f t="shared" si="123"/>
        <v>215395.09102224742</v>
      </c>
      <c r="H425" s="77">
        <f t="shared" si="123"/>
        <v>215395.09102224742</v>
      </c>
      <c r="I425" s="77">
        <f t="shared" si="123"/>
        <v>323092.63653337111</v>
      </c>
      <c r="J425" s="77">
        <f t="shared" si="123"/>
        <v>323092.63653337111</v>
      </c>
      <c r="K425" s="77">
        <f t="shared" si="123"/>
        <v>323092.63653337111</v>
      </c>
      <c r="L425" s="77">
        <f t="shared" si="123"/>
        <v>323092.63653337111</v>
      </c>
      <c r="M425" s="77">
        <f t="shared" si="123"/>
        <v>0</v>
      </c>
      <c r="N425" s="77">
        <f t="shared" si="123"/>
        <v>0</v>
      </c>
      <c r="O425" s="77">
        <f t="shared" si="123"/>
        <v>0</v>
      </c>
    </row>
    <row r="426" spans="3:16" s="28" customFormat="1">
      <c r="C426" s="52" t="s">
        <v>371</v>
      </c>
      <c r="D426" s="157"/>
      <c r="E426" s="157"/>
      <c r="F426" s="157">
        <v>160000</v>
      </c>
      <c r="G426" s="157">
        <v>160000</v>
      </c>
      <c r="H426" s="157">
        <v>160000</v>
      </c>
      <c r="I426" s="157">
        <v>240000</v>
      </c>
      <c r="J426" s="157">
        <v>240000</v>
      </c>
      <c r="K426" s="157">
        <v>240000</v>
      </c>
      <c r="L426" s="157">
        <v>240000</v>
      </c>
      <c r="M426" s="157"/>
      <c r="N426" s="157"/>
      <c r="O426" s="157"/>
    </row>
    <row r="427" spans="3:16">
      <c r="C427" s="29"/>
      <c r="D427" s="669" t="s">
        <v>383</v>
      </c>
      <c r="E427" s="669"/>
      <c r="F427" s="669"/>
      <c r="G427" s="669"/>
      <c r="H427" s="669"/>
      <c r="I427" s="669"/>
      <c r="J427" s="669"/>
      <c r="K427" s="669"/>
      <c r="L427" s="669"/>
      <c r="M427" s="669"/>
      <c r="N427" s="669"/>
      <c r="O427" s="669"/>
    </row>
    <row r="428" spans="3:16">
      <c r="C428" s="423" t="s">
        <v>370</v>
      </c>
      <c r="D428" s="77">
        <f t="shared" ref="D428:O428" si="124">D429*($E$494*($E$495/$F$495)+$E$496*($E$497/$F$497))</f>
        <v>7269.5843220008501</v>
      </c>
      <c r="E428" s="77">
        <f t="shared" si="124"/>
        <v>7269.5843220008501</v>
      </c>
      <c r="F428" s="77">
        <f t="shared" si="124"/>
        <v>19627.877669402296</v>
      </c>
      <c r="G428" s="77">
        <f t="shared" si="124"/>
        <v>19627.877669402296</v>
      </c>
      <c r="H428" s="77">
        <f t="shared" si="124"/>
        <v>34894.004745604077</v>
      </c>
      <c r="I428" s="77">
        <f t="shared" si="124"/>
        <v>34894.004745604077</v>
      </c>
      <c r="J428" s="77">
        <f t="shared" si="124"/>
        <v>54521.882415006374</v>
      </c>
      <c r="K428" s="77">
        <f t="shared" si="124"/>
        <v>54521.882415006374</v>
      </c>
      <c r="L428" s="77">
        <f t="shared" si="124"/>
        <v>54521.882415006374</v>
      </c>
      <c r="M428" s="77">
        <f t="shared" si="124"/>
        <v>0</v>
      </c>
      <c r="N428" s="77">
        <f t="shared" si="124"/>
        <v>0</v>
      </c>
      <c r="O428" s="77">
        <f t="shared" si="124"/>
        <v>0</v>
      </c>
    </row>
    <row r="429" spans="3:16">
      <c r="C429" s="52" t="s">
        <v>371</v>
      </c>
      <c r="D429" s="157">
        <v>5400</v>
      </c>
      <c r="E429" s="157">
        <v>5400</v>
      </c>
      <c r="F429" s="157">
        <v>14580</v>
      </c>
      <c r="G429" s="157">
        <v>14580</v>
      </c>
      <c r="H429" s="157">
        <v>25920</v>
      </c>
      <c r="I429" s="157">
        <v>25920</v>
      </c>
      <c r="J429" s="157">
        <v>40500</v>
      </c>
      <c r="K429" s="157">
        <v>40500</v>
      </c>
      <c r="L429" s="157">
        <v>40500</v>
      </c>
      <c r="M429" s="157"/>
      <c r="N429" s="157"/>
      <c r="O429" s="157"/>
      <c r="P429" s="158"/>
    </row>
    <row r="430" spans="3:16">
      <c r="C430" s="29"/>
      <c r="D430" s="669" t="s">
        <v>79</v>
      </c>
      <c r="E430" s="669"/>
      <c r="F430" s="669"/>
      <c r="G430" s="669"/>
      <c r="H430" s="669"/>
      <c r="I430" s="669"/>
      <c r="J430" s="669"/>
      <c r="K430" s="669"/>
      <c r="L430" s="669"/>
      <c r="M430" s="669"/>
      <c r="N430" s="669"/>
      <c r="O430" s="669"/>
    </row>
    <row r="431" spans="3:16">
      <c r="C431" s="423" t="s">
        <v>370</v>
      </c>
      <c r="D431" s="77">
        <f t="shared" ref="D431:O431" si="125">D432*($E$494*($E$495/$F$495)+$E$496*($E$497/$F$497))</f>
        <v>20596.051679160919</v>
      </c>
      <c r="E431" s="77">
        <f t="shared" si="125"/>
        <v>20596.051679160919</v>
      </c>
      <c r="F431" s="77">
        <f t="shared" si="125"/>
        <v>20596.051679160919</v>
      </c>
      <c r="G431" s="77">
        <f t="shared" si="125"/>
        <v>32862.398247082238</v>
      </c>
      <c r="H431" s="77">
        <f t="shared" si="125"/>
        <v>32862.398247082238</v>
      </c>
      <c r="I431" s="77">
        <f t="shared" si="125"/>
        <v>32862.398247082238</v>
      </c>
      <c r="J431" s="77">
        <f t="shared" si="125"/>
        <v>32862.398247082238</v>
      </c>
      <c r="K431" s="77">
        <f t="shared" si="125"/>
        <v>47981.383551729457</v>
      </c>
      <c r="L431" s="77">
        <f t="shared" si="125"/>
        <v>47981.383551729457</v>
      </c>
      <c r="M431" s="77">
        <f t="shared" si="125"/>
        <v>0</v>
      </c>
      <c r="N431" s="77">
        <f t="shared" si="125"/>
        <v>0</v>
      </c>
      <c r="O431" s="77">
        <f t="shared" si="125"/>
        <v>0</v>
      </c>
    </row>
    <row r="432" spans="3:16">
      <c r="C432" s="52" t="s">
        <v>371</v>
      </c>
      <c r="D432" s="157">
        <v>15299.18</v>
      </c>
      <c r="E432" s="157">
        <v>15299.18</v>
      </c>
      <c r="F432" s="157">
        <v>15299.18</v>
      </c>
      <c r="G432" s="157">
        <v>24410.879999999997</v>
      </c>
      <c r="H432" s="157">
        <v>24410.879999999997</v>
      </c>
      <c r="I432" s="157">
        <v>24410.879999999997</v>
      </c>
      <c r="J432" s="157">
        <v>24410.879999999997</v>
      </c>
      <c r="K432" s="157">
        <v>35641.58</v>
      </c>
      <c r="L432" s="157">
        <v>35641.58</v>
      </c>
      <c r="M432" s="157"/>
      <c r="N432" s="157"/>
      <c r="O432" s="157"/>
    </row>
    <row r="433" spans="3:15">
      <c r="C433" s="29"/>
      <c r="D433" s="669" t="s">
        <v>384</v>
      </c>
      <c r="E433" s="669"/>
      <c r="F433" s="669"/>
      <c r="G433" s="669"/>
      <c r="H433" s="669"/>
      <c r="I433" s="669"/>
      <c r="J433" s="669"/>
      <c r="K433" s="669"/>
      <c r="L433" s="669"/>
      <c r="M433" s="669"/>
      <c r="N433" s="669"/>
      <c r="O433" s="669"/>
    </row>
    <row r="434" spans="3:15">
      <c r="C434" s="423" t="s">
        <v>370</v>
      </c>
      <c r="D434" s="77">
        <f t="shared" ref="D434:O434" si="126">D435*($E$494*($E$495/$F$495)+$E$496*($E$497/$F$497))</f>
        <v>134621.93188890463</v>
      </c>
      <c r="E434" s="77">
        <f t="shared" si="126"/>
        <v>134621.93188890463</v>
      </c>
      <c r="F434" s="77">
        <f t="shared" si="126"/>
        <v>269243.86377780925</v>
      </c>
      <c r="G434" s="77">
        <f t="shared" si="126"/>
        <v>269243.86377780925</v>
      </c>
      <c r="H434" s="77">
        <f t="shared" si="126"/>
        <v>0</v>
      </c>
      <c r="I434" s="77">
        <f t="shared" si="126"/>
        <v>0</v>
      </c>
      <c r="J434" s="77">
        <f t="shared" si="126"/>
        <v>0</v>
      </c>
      <c r="K434" s="77">
        <f t="shared" si="126"/>
        <v>0</v>
      </c>
      <c r="L434" s="77">
        <f t="shared" si="126"/>
        <v>0</v>
      </c>
      <c r="M434" s="77">
        <f t="shared" si="126"/>
        <v>0</v>
      </c>
      <c r="N434" s="77">
        <f t="shared" si="126"/>
        <v>0</v>
      </c>
      <c r="O434" s="77">
        <f t="shared" si="126"/>
        <v>0</v>
      </c>
    </row>
    <row r="435" spans="3:15">
      <c r="C435" s="52" t="s">
        <v>371</v>
      </c>
      <c r="D435" s="157">
        <v>100000</v>
      </c>
      <c r="E435" s="157">
        <v>100000</v>
      </c>
      <c r="F435" s="157">
        <v>200000</v>
      </c>
      <c r="G435" s="157">
        <v>200000</v>
      </c>
      <c r="H435" s="157"/>
      <c r="I435" s="157"/>
      <c r="J435" s="157"/>
      <c r="K435" s="157"/>
      <c r="L435" s="157"/>
      <c r="M435" s="157"/>
      <c r="N435" s="157"/>
      <c r="O435" s="157"/>
    </row>
    <row r="436" spans="3:15">
      <c r="C436" s="29"/>
      <c r="D436" s="669" t="s">
        <v>80</v>
      </c>
      <c r="E436" s="669"/>
      <c r="F436" s="669"/>
      <c r="G436" s="669"/>
      <c r="H436" s="669"/>
      <c r="I436" s="669"/>
      <c r="J436" s="669"/>
      <c r="K436" s="669"/>
      <c r="L436" s="669"/>
      <c r="M436" s="669"/>
      <c r="N436" s="669"/>
      <c r="O436" s="669"/>
    </row>
    <row r="437" spans="3:15">
      <c r="C437" s="423" t="s">
        <v>370</v>
      </c>
      <c r="D437" s="77">
        <f t="shared" ref="D437:O437" si="127">D438*($E$494*($E$495/$F$495)+$E$496*($E$497/$F$497))</f>
        <v>0</v>
      </c>
      <c r="E437" s="77">
        <f t="shared" si="127"/>
        <v>0</v>
      </c>
      <c r="F437" s="77">
        <f t="shared" si="127"/>
        <v>0</v>
      </c>
      <c r="G437" s="77">
        <f t="shared" si="127"/>
        <v>1221502.8687485273</v>
      </c>
      <c r="H437" s="77">
        <f t="shared" si="127"/>
        <v>1221502.8687485273</v>
      </c>
      <c r="I437" s="77">
        <f t="shared" si="127"/>
        <v>1221502.8687485273</v>
      </c>
      <c r="J437" s="77">
        <f t="shared" si="127"/>
        <v>1425087.577686161</v>
      </c>
      <c r="K437" s="77">
        <f t="shared" si="127"/>
        <v>1425087.577686161</v>
      </c>
      <c r="L437" s="77">
        <f t="shared" si="127"/>
        <v>1425087.577686161</v>
      </c>
      <c r="M437" s="77">
        <f t="shared" si="127"/>
        <v>0</v>
      </c>
      <c r="N437" s="77">
        <f t="shared" si="127"/>
        <v>0</v>
      </c>
      <c r="O437" s="77">
        <f t="shared" si="127"/>
        <v>0</v>
      </c>
    </row>
    <row r="438" spans="3:15">
      <c r="C438" s="52" t="s">
        <v>371</v>
      </c>
      <c r="D438" s="157"/>
      <c r="E438" s="157"/>
      <c r="F438" s="157"/>
      <c r="G438" s="157">
        <v>907358</v>
      </c>
      <c r="H438" s="157">
        <v>907358</v>
      </c>
      <c r="I438" s="157">
        <v>907358</v>
      </c>
      <c r="J438" s="157">
        <v>1058585</v>
      </c>
      <c r="K438" s="157">
        <v>1058585</v>
      </c>
      <c r="L438" s="157">
        <v>1058585</v>
      </c>
      <c r="M438" s="157"/>
      <c r="N438" s="157"/>
      <c r="O438" s="157"/>
    </row>
    <row r="439" spans="3:15">
      <c r="C439" s="29"/>
      <c r="D439" s="669" t="s">
        <v>81</v>
      </c>
      <c r="E439" s="669"/>
      <c r="F439" s="669"/>
      <c r="G439" s="669"/>
      <c r="H439" s="669"/>
      <c r="I439" s="669"/>
      <c r="J439" s="669"/>
      <c r="K439" s="669"/>
      <c r="L439" s="669"/>
      <c r="M439" s="669"/>
      <c r="N439" s="669"/>
      <c r="O439" s="669"/>
    </row>
    <row r="440" spans="3:15" s="28" customFormat="1">
      <c r="C440" s="423" t="s">
        <v>370</v>
      </c>
      <c r="D440" s="77">
        <f>D441*1.05</f>
        <v>315000</v>
      </c>
      <c r="E440" s="77">
        <f t="shared" ref="E440:G440" si="128">E441*1.05</f>
        <v>315000</v>
      </c>
      <c r="F440" s="77">
        <f t="shared" si="128"/>
        <v>315000</v>
      </c>
      <c r="G440" s="77">
        <f t="shared" si="128"/>
        <v>367500</v>
      </c>
      <c r="H440" s="77">
        <f t="shared" ref="H440:O440" si="129">H441*($E$494*($E$495/$F$495)+$E$496*($E$497/$F$497))</f>
        <v>471176.76161116624</v>
      </c>
      <c r="I440" s="77">
        <f t="shared" si="129"/>
        <v>471176.76161116624</v>
      </c>
      <c r="J440" s="77">
        <f t="shared" ref="J440" si="130">J441*1.05</f>
        <v>525000</v>
      </c>
      <c r="K440" s="77">
        <f t="shared" ref="K440" si="131">K441*1.05</f>
        <v>525000</v>
      </c>
      <c r="L440" s="77">
        <f t="shared" ref="L440" si="132">L441*1.05</f>
        <v>525000</v>
      </c>
      <c r="M440" s="77">
        <f t="shared" si="129"/>
        <v>0</v>
      </c>
      <c r="N440" s="77">
        <f t="shared" si="129"/>
        <v>0</v>
      </c>
      <c r="O440" s="77">
        <f t="shared" si="129"/>
        <v>0</v>
      </c>
    </row>
    <row r="441" spans="3:15" s="28" customFormat="1">
      <c r="C441" s="52" t="s">
        <v>371</v>
      </c>
      <c r="D441" s="157">
        <v>300000</v>
      </c>
      <c r="E441" s="157">
        <v>300000</v>
      </c>
      <c r="F441" s="157">
        <v>300000</v>
      </c>
      <c r="G441" s="157">
        <v>350000</v>
      </c>
      <c r="H441" s="157">
        <v>350000</v>
      </c>
      <c r="I441" s="157">
        <v>350000</v>
      </c>
      <c r="J441" s="157">
        <v>500000</v>
      </c>
      <c r="K441" s="157">
        <v>500000</v>
      </c>
      <c r="L441" s="157">
        <v>500000</v>
      </c>
      <c r="M441" s="157"/>
      <c r="N441" s="157"/>
      <c r="O441" s="157"/>
    </row>
    <row r="442" spans="3:15" s="28" customFormat="1">
      <c r="C442" s="29"/>
      <c r="D442" s="669" t="s">
        <v>385</v>
      </c>
      <c r="E442" s="669"/>
      <c r="F442" s="669"/>
      <c r="G442" s="669"/>
      <c r="H442" s="669"/>
      <c r="I442" s="669"/>
      <c r="J442" s="669"/>
      <c r="K442" s="669"/>
      <c r="L442" s="669"/>
      <c r="M442" s="669"/>
      <c r="N442" s="669"/>
      <c r="O442" s="669"/>
    </row>
    <row r="443" spans="3:15" s="28" customFormat="1">
      <c r="C443" s="423" t="s">
        <v>370</v>
      </c>
      <c r="D443" s="77">
        <f t="shared" ref="D443:O443" si="133">D444*($E$494*($E$495/$F$495)+$E$496*($E$497/$F$497))</f>
        <v>381653.17690504465</v>
      </c>
      <c r="E443" s="77">
        <f t="shared" si="133"/>
        <v>381653.17690504465</v>
      </c>
      <c r="F443" s="77">
        <f t="shared" si="133"/>
        <v>381653.17690504465</v>
      </c>
      <c r="G443" s="77">
        <f t="shared" si="133"/>
        <v>1060147.713625124</v>
      </c>
      <c r="H443" s="77">
        <f t="shared" si="133"/>
        <v>1060147.713625124</v>
      </c>
      <c r="I443" s="77">
        <f t="shared" si="133"/>
        <v>1060147.713625124</v>
      </c>
      <c r="J443" s="77">
        <f t="shared" si="133"/>
        <v>1526612.7076201786</v>
      </c>
      <c r="K443" s="77">
        <f t="shared" si="133"/>
        <v>1526612.7076201786</v>
      </c>
      <c r="L443" s="77">
        <f t="shared" si="133"/>
        <v>1526612.7076201786</v>
      </c>
      <c r="M443" s="77">
        <f t="shared" si="133"/>
        <v>0</v>
      </c>
      <c r="N443" s="77">
        <f t="shared" si="133"/>
        <v>0</v>
      </c>
      <c r="O443" s="77">
        <f t="shared" si="133"/>
        <v>0</v>
      </c>
    </row>
    <row r="444" spans="3:15" s="28" customFormat="1">
      <c r="C444" s="52" t="s">
        <v>371</v>
      </c>
      <c r="D444" s="157">
        <v>283500</v>
      </c>
      <c r="E444" s="157">
        <v>283500</v>
      </c>
      <c r="F444" s="157">
        <v>283500</v>
      </c>
      <c r="G444" s="157">
        <v>787500</v>
      </c>
      <c r="H444" s="157">
        <v>787500</v>
      </c>
      <c r="I444" s="157">
        <v>787500</v>
      </c>
      <c r="J444" s="157">
        <v>1134000</v>
      </c>
      <c r="K444" s="157">
        <v>1134000</v>
      </c>
      <c r="L444" s="157">
        <v>1134000</v>
      </c>
      <c r="M444" s="157"/>
      <c r="N444" s="157"/>
      <c r="O444" s="157"/>
    </row>
    <row r="445" spans="3:15" s="28" customFormat="1">
      <c r="C445" s="29"/>
      <c r="D445" s="669" t="s">
        <v>386</v>
      </c>
      <c r="E445" s="669"/>
      <c r="F445" s="669"/>
      <c r="G445" s="669"/>
      <c r="H445" s="669"/>
      <c r="I445" s="669"/>
      <c r="J445" s="669"/>
      <c r="K445" s="669"/>
      <c r="L445" s="669"/>
      <c r="M445" s="669"/>
      <c r="N445" s="669"/>
      <c r="O445" s="669"/>
    </row>
    <row r="446" spans="3:15" s="28" customFormat="1">
      <c r="C446" s="423" t="s">
        <v>370</v>
      </c>
      <c r="D446" s="77">
        <f t="shared" ref="D446:O446" si="134">D447*($E$494*($E$495/$F$495)+$E$496*($E$497/$F$497))</f>
        <v>161142.45247101886</v>
      </c>
      <c r="E446" s="77">
        <f t="shared" si="134"/>
        <v>161142.45247101886</v>
      </c>
      <c r="F446" s="77">
        <f t="shared" si="134"/>
        <v>161142.45247101886</v>
      </c>
      <c r="G446" s="77">
        <f t="shared" si="134"/>
        <v>447617.92353060789</v>
      </c>
      <c r="H446" s="77">
        <f t="shared" si="134"/>
        <v>447617.92353060789</v>
      </c>
      <c r="I446" s="77">
        <f t="shared" si="134"/>
        <v>447617.92353060789</v>
      </c>
      <c r="J446" s="77">
        <f t="shared" si="134"/>
        <v>447617.92353060789</v>
      </c>
      <c r="K446" s="77">
        <f t="shared" si="134"/>
        <v>644569.80988407542</v>
      </c>
      <c r="L446" s="77">
        <f t="shared" si="134"/>
        <v>644165.94408840872</v>
      </c>
      <c r="M446" s="77">
        <f t="shared" si="134"/>
        <v>0</v>
      </c>
      <c r="N446" s="77">
        <f t="shared" si="134"/>
        <v>0</v>
      </c>
      <c r="O446" s="77">
        <f t="shared" si="134"/>
        <v>0</v>
      </c>
    </row>
    <row r="447" spans="3:15" s="28" customFormat="1">
      <c r="C447" s="52" t="s">
        <v>371</v>
      </c>
      <c r="D447" s="157">
        <v>119700</v>
      </c>
      <c r="E447" s="157">
        <v>119700</v>
      </c>
      <c r="F447" s="157">
        <v>119700</v>
      </c>
      <c r="G447" s="157">
        <v>332500</v>
      </c>
      <c r="H447" s="157">
        <v>332500</v>
      </c>
      <c r="I447" s="157">
        <v>332500</v>
      </c>
      <c r="J447" s="157">
        <v>332500</v>
      </c>
      <c r="K447" s="157">
        <v>478800</v>
      </c>
      <c r="L447" s="157">
        <v>478500</v>
      </c>
      <c r="M447" s="157"/>
      <c r="N447" s="157"/>
      <c r="O447" s="157"/>
    </row>
    <row r="448" spans="3:15" s="28" customFormat="1">
      <c r="C448" s="29"/>
      <c r="D448" s="669" t="s">
        <v>83</v>
      </c>
      <c r="E448" s="669"/>
      <c r="F448" s="669"/>
      <c r="G448" s="669"/>
      <c r="H448" s="669"/>
      <c r="I448" s="669"/>
      <c r="J448" s="669"/>
      <c r="K448" s="669"/>
      <c r="L448" s="669"/>
      <c r="M448" s="669"/>
      <c r="N448" s="669"/>
      <c r="O448" s="669"/>
    </row>
    <row r="449" spans="3:15" s="28" customFormat="1">
      <c r="C449" s="423" t="s">
        <v>370</v>
      </c>
      <c r="D449" s="77">
        <f t="shared" ref="D449:O449" si="135">D450*($E$494*($E$495/$F$495)+$E$496*($E$497/$F$497))</f>
        <v>89052.407944510414</v>
      </c>
      <c r="E449" s="77">
        <f t="shared" si="135"/>
        <v>89052.407944510414</v>
      </c>
      <c r="F449" s="77">
        <f t="shared" si="135"/>
        <v>89052.407944510414</v>
      </c>
      <c r="G449" s="77">
        <f t="shared" si="135"/>
        <v>247367.79984586226</v>
      </c>
      <c r="H449" s="77">
        <f t="shared" si="135"/>
        <v>247367.79984586226</v>
      </c>
      <c r="I449" s="77">
        <f t="shared" si="135"/>
        <v>247367.79984586226</v>
      </c>
      <c r="J449" s="77">
        <f t="shared" si="135"/>
        <v>356478.8756418195</v>
      </c>
      <c r="K449" s="77">
        <f t="shared" si="135"/>
        <v>356478.8756418195</v>
      </c>
      <c r="L449" s="77">
        <f t="shared" si="135"/>
        <v>356478.8756418195</v>
      </c>
      <c r="M449" s="77">
        <f t="shared" si="135"/>
        <v>0</v>
      </c>
      <c r="N449" s="77">
        <f t="shared" si="135"/>
        <v>0</v>
      </c>
      <c r="O449" s="77">
        <f t="shared" si="135"/>
        <v>0</v>
      </c>
    </row>
    <row r="450" spans="3:15" s="28" customFormat="1">
      <c r="C450" s="52" t="s">
        <v>371</v>
      </c>
      <c r="D450" s="157">
        <v>66150</v>
      </c>
      <c r="E450" s="157">
        <v>66150</v>
      </c>
      <c r="F450" s="157">
        <v>66150</v>
      </c>
      <c r="G450" s="157">
        <v>183750</v>
      </c>
      <c r="H450" s="157">
        <v>183750</v>
      </c>
      <c r="I450" s="157">
        <v>183750</v>
      </c>
      <c r="J450" s="157">
        <v>264800</v>
      </c>
      <c r="K450" s="157">
        <v>264800</v>
      </c>
      <c r="L450" s="157">
        <v>264800</v>
      </c>
      <c r="M450" s="157"/>
      <c r="N450" s="157"/>
      <c r="O450" s="157"/>
    </row>
    <row r="451" spans="3:15" s="28" customFormat="1">
      <c r="C451" s="29"/>
      <c r="D451" s="669" t="s">
        <v>82</v>
      </c>
      <c r="E451" s="669"/>
      <c r="F451" s="669"/>
      <c r="G451" s="669"/>
      <c r="H451" s="669"/>
      <c r="I451" s="669"/>
      <c r="J451" s="669"/>
      <c r="K451" s="669"/>
      <c r="L451" s="669"/>
      <c r="M451" s="669"/>
      <c r="N451" s="669"/>
      <c r="O451" s="669"/>
    </row>
    <row r="452" spans="3:15" s="28" customFormat="1">
      <c r="C452" s="423" t="s">
        <v>370</v>
      </c>
      <c r="D452" s="77">
        <f t="shared" ref="D452:O452" si="136">D453*($E$494*($E$495/$F$495)+$E$496*($E$497/$F$497))</f>
        <v>12789.083529445939</v>
      </c>
      <c r="E452" s="77">
        <f t="shared" si="136"/>
        <v>12789.083529445939</v>
      </c>
      <c r="F452" s="77">
        <f t="shared" si="136"/>
        <v>12789.083529445939</v>
      </c>
      <c r="G452" s="77">
        <f t="shared" si="136"/>
        <v>35338.257120837465</v>
      </c>
      <c r="H452" s="77">
        <f t="shared" si="136"/>
        <v>35338.257120837465</v>
      </c>
      <c r="I452" s="77">
        <f t="shared" si="136"/>
        <v>35338.257120837465</v>
      </c>
      <c r="J452" s="77">
        <f t="shared" si="136"/>
        <v>50887.090254005954</v>
      </c>
      <c r="K452" s="77">
        <f t="shared" si="136"/>
        <v>50887.090254005954</v>
      </c>
      <c r="L452" s="77">
        <f t="shared" si="136"/>
        <v>50887.090254005954</v>
      </c>
      <c r="M452" s="77">
        <f t="shared" si="136"/>
        <v>0</v>
      </c>
      <c r="N452" s="77">
        <f t="shared" si="136"/>
        <v>0</v>
      </c>
      <c r="O452" s="77">
        <f t="shared" si="136"/>
        <v>0</v>
      </c>
    </row>
    <row r="453" spans="3:15" s="28" customFormat="1">
      <c r="C453" s="52" t="s">
        <v>371</v>
      </c>
      <c r="D453" s="157">
        <v>9500</v>
      </c>
      <c r="E453" s="157">
        <v>9500</v>
      </c>
      <c r="F453" s="157">
        <v>9500</v>
      </c>
      <c r="G453" s="157">
        <v>26250</v>
      </c>
      <c r="H453" s="157">
        <v>26250</v>
      </c>
      <c r="I453" s="157">
        <v>26250</v>
      </c>
      <c r="J453" s="157">
        <v>37800</v>
      </c>
      <c r="K453" s="157">
        <v>37800</v>
      </c>
      <c r="L453" s="157">
        <v>37800</v>
      </c>
      <c r="M453" s="157"/>
      <c r="N453" s="157"/>
      <c r="O453" s="157"/>
    </row>
    <row r="454" spans="3:15" s="28" customFormat="1">
      <c r="C454" s="29"/>
      <c r="D454" s="669" t="s">
        <v>84</v>
      </c>
      <c r="E454" s="669"/>
      <c r="F454" s="669"/>
      <c r="G454" s="669"/>
      <c r="H454" s="669"/>
      <c r="I454" s="669"/>
      <c r="J454" s="669"/>
      <c r="K454" s="669"/>
      <c r="L454" s="669"/>
      <c r="M454" s="669"/>
      <c r="N454" s="669"/>
      <c r="O454" s="669"/>
    </row>
    <row r="455" spans="3:15" s="28" customFormat="1">
      <c r="C455" s="423" t="s">
        <v>370</v>
      </c>
      <c r="D455" s="77">
        <f t="shared" ref="D455:O455" si="137">D456*($E$494*($E$495/$F$495)+$E$496*($E$497/$F$497))</f>
        <v>174470.0237280204</v>
      </c>
      <c r="E455" s="77">
        <f t="shared" si="137"/>
        <v>174470.0237280204</v>
      </c>
      <c r="F455" s="77">
        <f t="shared" si="137"/>
        <v>174470.0237280204</v>
      </c>
      <c r="G455" s="77">
        <f t="shared" si="137"/>
        <v>2358834.7208028357</v>
      </c>
      <c r="H455" s="77">
        <f t="shared" si="137"/>
        <v>2358834.7208028357</v>
      </c>
      <c r="I455" s="77">
        <f t="shared" si="137"/>
        <v>2358834.7208028357</v>
      </c>
      <c r="J455" s="77">
        <f t="shared" si="137"/>
        <v>3232057.189561578</v>
      </c>
      <c r="K455" s="77">
        <f t="shared" si="137"/>
        <v>3232057.189561578</v>
      </c>
      <c r="L455" s="77">
        <f t="shared" si="137"/>
        <v>3232057.189561578</v>
      </c>
      <c r="M455" s="77">
        <f t="shared" si="137"/>
        <v>0</v>
      </c>
      <c r="N455" s="77">
        <f t="shared" si="137"/>
        <v>0</v>
      </c>
      <c r="O455" s="77">
        <f t="shared" si="137"/>
        <v>0</v>
      </c>
    </row>
    <row r="456" spans="3:15" s="28" customFormat="1">
      <c r="C456" s="52" t="s">
        <v>371</v>
      </c>
      <c r="D456" s="157">
        <v>129600</v>
      </c>
      <c r="E456" s="157">
        <v>129600</v>
      </c>
      <c r="F456" s="157">
        <v>129600</v>
      </c>
      <c r="G456" s="157">
        <v>1752192</v>
      </c>
      <c r="H456" s="157">
        <v>1752192</v>
      </c>
      <c r="I456" s="157">
        <v>1752192</v>
      </c>
      <c r="J456" s="157">
        <v>2400840</v>
      </c>
      <c r="K456" s="157">
        <v>2400840</v>
      </c>
      <c r="L456" s="157">
        <v>2400840</v>
      </c>
      <c r="M456" s="157"/>
      <c r="N456" s="157"/>
      <c r="O456" s="157"/>
    </row>
    <row r="457" spans="3:15" s="28" customFormat="1">
      <c r="C457" s="29"/>
      <c r="D457" s="669" t="s">
        <v>85</v>
      </c>
      <c r="E457" s="669"/>
      <c r="F457" s="669"/>
      <c r="G457" s="669"/>
      <c r="H457" s="669"/>
      <c r="I457" s="669"/>
      <c r="J457" s="669"/>
      <c r="K457" s="669"/>
      <c r="L457" s="669"/>
      <c r="M457" s="669"/>
      <c r="N457" s="669"/>
      <c r="O457" s="669"/>
    </row>
    <row r="458" spans="3:15" s="28" customFormat="1">
      <c r="C458" s="423" t="s">
        <v>370</v>
      </c>
      <c r="D458" s="77">
        <f t="shared" ref="D458:O458" si="138">D459*($E$494*($E$495/$F$495)+$E$496*($E$497/$F$497))</f>
        <v>1046832.2583419924</v>
      </c>
      <c r="E458" s="77">
        <f t="shared" si="138"/>
        <v>1046832.2583419924</v>
      </c>
      <c r="F458" s="77">
        <f t="shared" si="138"/>
        <v>1046832.2583419924</v>
      </c>
      <c r="G458" s="77">
        <f t="shared" si="138"/>
        <v>0</v>
      </c>
      <c r="H458" s="77">
        <f t="shared" si="138"/>
        <v>0</v>
      </c>
      <c r="I458" s="77">
        <f t="shared" si="138"/>
        <v>0</v>
      </c>
      <c r="J458" s="77">
        <f t="shared" si="138"/>
        <v>0</v>
      </c>
      <c r="K458" s="77">
        <f t="shared" si="138"/>
        <v>0</v>
      </c>
      <c r="L458" s="77">
        <f t="shared" si="138"/>
        <v>0</v>
      </c>
      <c r="M458" s="77">
        <f t="shared" si="138"/>
        <v>0</v>
      </c>
      <c r="N458" s="77">
        <f t="shared" si="138"/>
        <v>0</v>
      </c>
      <c r="O458" s="77">
        <f t="shared" si="138"/>
        <v>0</v>
      </c>
    </row>
    <row r="459" spans="3:15" s="28" customFormat="1">
      <c r="C459" s="52" t="s">
        <v>371</v>
      </c>
      <c r="D459" s="157">
        <v>777609</v>
      </c>
      <c r="E459" s="157">
        <v>777609</v>
      </c>
      <c r="F459" s="157">
        <v>777609</v>
      </c>
      <c r="G459" s="157"/>
      <c r="H459" s="157"/>
      <c r="I459" s="157"/>
      <c r="J459" s="157"/>
      <c r="K459" s="157"/>
      <c r="L459" s="157"/>
      <c r="M459" s="157"/>
      <c r="N459" s="157"/>
      <c r="O459" s="157"/>
    </row>
    <row r="460" spans="3:15" s="28" customFormat="1">
      <c r="C460" s="29"/>
      <c r="D460" s="669" t="s">
        <v>86</v>
      </c>
      <c r="E460" s="669"/>
      <c r="F460" s="669"/>
      <c r="G460" s="669"/>
      <c r="H460" s="669"/>
      <c r="I460" s="669"/>
      <c r="J460" s="669"/>
      <c r="K460" s="669"/>
      <c r="L460" s="669"/>
      <c r="M460" s="669"/>
      <c r="N460" s="669"/>
      <c r="O460" s="669"/>
    </row>
    <row r="461" spans="3:15" s="28" customFormat="1">
      <c r="C461" s="423" t="s">
        <v>370</v>
      </c>
      <c r="D461" s="77">
        <f t="shared" ref="D461:O461" si="139">D462*($E$494*($E$495/$F$495)+$E$496*($E$497/$F$497))</f>
        <v>471176.76161116624</v>
      </c>
      <c r="E461" s="77">
        <f t="shared" si="139"/>
        <v>471176.76161116624</v>
      </c>
      <c r="F461" s="77">
        <f t="shared" si="139"/>
        <v>471176.76161116624</v>
      </c>
      <c r="G461" s="77">
        <f t="shared" si="139"/>
        <v>538487.7275556185</v>
      </c>
      <c r="H461" s="77">
        <f t="shared" si="139"/>
        <v>538487.7275556185</v>
      </c>
      <c r="I461" s="77">
        <f t="shared" si="139"/>
        <v>538487.7275556185</v>
      </c>
      <c r="J461" s="77">
        <f t="shared" si="139"/>
        <v>605798.69350007083</v>
      </c>
      <c r="K461" s="77">
        <f t="shared" si="139"/>
        <v>605798.69350007083</v>
      </c>
      <c r="L461" s="77">
        <f t="shared" si="139"/>
        <v>605798.69350007083</v>
      </c>
      <c r="M461" s="77">
        <f t="shared" si="139"/>
        <v>0</v>
      </c>
      <c r="N461" s="77">
        <f t="shared" si="139"/>
        <v>0</v>
      </c>
      <c r="O461" s="77">
        <f t="shared" si="139"/>
        <v>0</v>
      </c>
    </row>
    <row r="462" spans="3:15" s="28" customFormat="1">
      <c r="C462" s="52" t="s">
        <v>371</v>
      </c>
      <c r="D462" s="157">
        <v>350000</v>
      </c>
      <c r="E462" s="157">
        <v>350000</v>
      </c>
      <c r="F462" s="157">
        <v>350000</v>
      </c>
      <c r="G462" s="157">
        <v>400000</v>
      </c>
      <c r="H462" s="157">
        <v>400000</v>
      </c>
      <c r="I462" s="157">
        <v>400000</v>
      </c>
      <c r="J462" s="157">
        <v>450000</v>
      </c>
      <c r="K462" s="157">
        <v>450000</v>
      </c>
      <c r="L462" s="157">
        <v>450000</v>
      </c>
      <c r="M462" s="157"/>
      <c r="N462" s="157"/>
      <c r="O462" s="157"/>
    </row>
    <row r="463" spans="3:15" s="28" customFormat="1">
      <c r="C463" s="29"/>
      <c r="D463" s="669" t="s">
        <v>87</v>
      </c>
      <c r="E463" s="669"/>
      <c r="F463" s="669"/>
      <c r="G463" s="669"/>
      <c r="H463" s="669"/>
      <c r="I463" s="669"/>
      <c r="J463" s="669"/>
      <c r="K463" s="669"/>
      <c r="L463" s="669"/>
      <c r="M463" s="669"/>
      <c r="N463" s="669"/>
      <c r="O463" s="669"/>
    </row>
    <row r="464" spans="3:15" s="28" customFormat="1">
      <c r="C464" s="423" t="s">
        <v>370</v>
      </c>
      <c r="D464" s="77">
        <f t="shared" ref="D464:O464" si="140">D465*($E$494*($E$495/$F$495)+$E$496*($E$497/$F$497))</f>
        <v>69666.849752508148</v>
      </c>
      <c r="E464" s="77">
        <f t="shared" si="140"/>
        <v>69666.849752508148</v>
      </c>
      <c r="F464" s="77">
        <f t="shared" si="140"/>
        <v>69666.849752508148</v>
      </c>
      <c r="G464" s="77">
        <f t="shared" si="140"/>
        <v>123852.17733779227</v>
      </c>
      <c r="H464" s="77">
        <f t="shared" si="140"/>
        <v>123852.17733779227</v>
      </c>
      <c r="I464" s="77">
        <f t="shared" si="140"/>
        <v>123852.17733779227</v>
      </c>
      <c r="J464" s="77">
        <f t="shared" si="140"/>
        <v>193519.0270903004</v>
      </c>
      <c r="K464" s="77">
        <f t="shared" si="140"/>
        <v>193519.0270903004</v>
      </c>
      <c r="L464" s="77">
        <f t="shared" si="140"/>
        <v>193519.0270903004</v>
      </c>
      <c r="M464" s="77">
        <f t="shared" si="140"/>
        <v>0</v>
      </c>
      <c r="N464" s="77">
        <f t="shared" si="140"/>
        <v>0</v>
      </c>
      <c r="O464" s="77">
        <f t="shared" si="140"/>
        <v>0</v>
      </c>
    </row>
    <row r="465" spans="3:15" s="28" customFormat="1">
      <c r="C465" s="52" t="s">
        <v>371</v>
      </c>
      <c r="D465" s="157">
        <v>51750</v>
      </c>
      <c r="E465" s="157">
        <v>51750</v>
      </c>
      <c r="F465" s="157">
        <v>51750</v>
      </c>
      <c r="G465" s="157">
        <v>92000</v>
      </c>
      <c r="H465" s="157">
        <v>92000</v>
      </c>
      <c r="I465" s="157">
        <v>92000</v>
      </c>
      <c r="J465" s="157">
        <v>143750</v>
      </c>
      <c r="K465" s="157">
        <v>143750</v>
      </c>
      <c r="L465" s="157">
        <v>143750</v>
      </c>
      <c r="M465" s="157"/>
      <c r="N465" s="157"/>
      <c r="O465" s="157"/>
    </row>
    <row r="466" spans="3:15" s="28" customFormat="1">
      <c r="C466" s="29"/>
      <c r="D466" s="669" t="s">
        <v>88</v>
      </c>
      <c r="E466" s="669"/>
      <c r="F466" s="669"/>
      <c r="G466" s="669"/>
      <c r="H466" s="669"/>
      <c r="I466" s="669"/>
      <c r="J466" s="669"/>
      <c r="K466" s="669"/>
      <c r="L466" s="669"/>
      <c r="M466" s="669"/>
      <c r="N466" s="669"/>
      <c r="O466" s="669"/>
    </row>
    <row r="467" spans="3:15" s="28" customFormat="1">
      <c r="C467" s="423" t="s">
        <v>370</v>
      </c>
      <c r="D467" s="77">
        <f t="shared" ref="D467:O467" si="141">D468*($E$494*($E$495/$F$495)+$E$496*($E$497/$F$497))</f>
        <v>60579.869350007088</v>
      </c>
      <c r="E467" s="77">
        <f t="shared" si="141"/>
        <v>60579.869350007088</v>
      </c>
      <c r="F467" s="77">
        <f t="shared" si="141"/>
        <v>121159.73870001418</v>
      </c>
      <c r="G467" s="77">
        <f t="shared" si="141"/>
        <v>121159.73870001418</v>
      </c>
      <c r="H467" s="77">
        <f t="shared" si="141"/>
        <v>121159.73870001418</v>
      </c>
      <c r="I467" s="77">
        <f t="shared" si="141"/>
        <v>121159.73870001418</v>
      </c>
      <c r="J467" s="77">
        <f t="shared" si="141"/>
        <v>169623.63418001984</v>
      </c>
      <c r="K467" s="77">
        <f t="shared" si="141"/>
        <v>169623.63418001984</v>
      </c>
      <c r="L467" s="77">
        <f t="shared" si="141"/>
        <v>169623.63418001984</v>
      </c>
      <c r="M467" s="77">
        <f t="shared" si="141"/>
        <v>0</v>
      </c>
      <c r="N467" s="77">
        <f t="shared" si="141"/>
        <v>0</v>
      </c>
      <c r="O467" s="77">
        <f t="shared" si="141"/>
        <v>0</v>
      </c>
    </row>
    <row r="468" spans="3:15" s="28" customFormat="1">
      <c r="C468" s="52" t="s">
        <v>371</v>
      </c>
      <c r="D468" s="157">
        <v>45000</v>
      </c>
      <c r="E468" s="157">
        <v>45000</v>
      </c>
      <c r="F468" s="426">
        <v>90000</v>
      </c>
      <c r="G468" s="157">
        <v>90000</v>
      </c>
      <c r="H468" s="157">
        <v>90000</v>
      </c>
      <c r="I468" s="157">
        <v>90000</v>
      </c>
      <c r="J468" s="157">
        <v>126000</v>
      </c>
      <c r="K468" s="157">
        <v>126000</v>
      </c>
      <c r="L468" s="157">
        <v>126000</v>
      </c>
      <c r="M468" s="157"/>
      <c r="N468" s="157"/>
      <c r="O468" s="157"/>
    </row>
    <row r="469" spans="3:15" s="28" customFormat="1">
      <c r="C469" s="29"/>
      <c r="D469" s="669" t="s">
        <v>89</v>
      </c>
      <c r="E469" s="669"/>
      <c r="F469" s="669"/>
      <c r="G469" s="669"/>
      <c r="H469" s="669"/>
      <c r="I469" s="669"/>
      <c r="J469" s="669"/>
      <c r="K469" s="669"/>
      <c r="L469" s="669"/>
      <c r="M469" s="669"/>
      <c r="N469" s="669"/>
      <c r="O469" s="669"/>
    </row>
    <row r="470" spans="3:15" s="28" customFormat="1">
      <c r="C470" s="423" t="s">
        <v>370</v>
      </c>
      <c r="D470" s="77">
        <f t="shared" ref="D470:O470" si="142">D471*($E$494*($E$495/$F$495)+$E$496*($E$497/$F$497))</f>
        <v>127217.72563501488</v>
      </c>
      <c r="E470" s="77">
        <f t="shared" si="142"/>
        <v>127217.72563501488</v>
      </c>
      <c r="F470" s="77">
        <f t="shared" si="142"/>
        <v>127217.72563501488</v>
      </c>
      <c r="G470" s="77">
        <f t="shared" si="142"/>
        <v>1058451.4772833239</v>
      </c>
      <c r="H470" s="77">
        <f t="shared" si="142"/>
        <v>1058451.4772833239</v>
      </c>
      <c r="I470" s="77">
        <f t="shared" si="142"/>
        <v>1058451.4772833239</v>
      </c>
      <c r="J470" s="77">
        <f t="shared" si="142"/>
        <v>1450282.0722391696</v>
      </c>
      <c r="K470" s="77">
        <f t="shared" si="142"/>
        <v>1450282.0722391696</v>
      </c>
      <c r="L470" s="77">
        <f t="shared" si="142"/>
        <v>1450282.0722391696</v>
      </c>
      <c r="M470" s="77">
        <f t="shared" si="142"/>
        <v>0</v>
      </c>
      <c r="N470" s="77">
        <f t="shared" si="142"/>
        <v>0</v>
      </c>
      <c r="O470" s="77">
        <f t="shared" si="142"/>
        <v>0</v>
      </c>
    </row>
    <row r="471" spans="3:15" s="28" customFormat="1">
      <c r="C471" s="52" t="s">
        <v>371</v>
      </c>
      <c r="D471" s="157">
        <v>94500</v>
      </c>
      <c r="E471" s="157">
        <v>94500</v>
      </c>
      <c r="F471" s="157">
        <v>94500</v>
      </c>
      <c r="G471" s="157">
        <v>786240</v>
      </c>
      <c r="H471" s="157">
        <v>786240</v>
      </c>
      <c r="I471" s="157">
        <v>786240</v>
      </c>
      <c r="J471" s="157">
        <v>1077300</v>
      </c>
      <c r="K471" s="157">
        <v>1077300</v>
      </c>
      <c r="L471" s="157">
        <v>1077300</v>
      </c>
      <c r="M471" s="157"/>
      <c r="N471" s="157"/>
      <c r="O471" s="157"/>
    </row>
    <row r="472" spans="3:15" s="28" customFormat="1">
      <c r="C472" s="29"/>
      <c r="D472" s="669" t="s">
        <v>387</v>
      </c>
      <c r="E472" s="669"/>
      <c r="F472" s="669"/>
      <c r="G472" s="669"/>
      <c r="H472" s="669"/>
      <c r="I472" s="669"/>
      <c r="J472" s="669"/>
      <c r="K472" s="669"/>
      <c r="L472" s="669"/>
      <c r="M472" s="669"/>
      <c r="N472" s="669"/>
      <c r="O472" s="669"/>
    </row>
    <row r="473" spans="3:15" s="28" customFormat="1">
      <c r="C473" s="423" t="s">
        <v>370</v>
      </c>
      <c r="D473" s="77">
        <f>D474*1.03</f>
        <v>714820</v>
      </c>
      <c r="E473" s="77">
        <f t="shared" ref="E473:F473" si="143">E474*1.03</f>
        <v>714820</v>
      </c>
      <c r="F473" s="77">
        <f t="shared" si="143"/>
        <v>714820</v>
      </c>
      <c r="G473" s="77">
        <f t="shared" ref="G473:O473" si="144">G474*($E$494*($E$495/$F$495)+$E$496*($E$497/$F$497))</f>
        <v>0</v>
      </c>
      <c r="H473" s="77">
        <f t="shared" si="144"/>
        <v>0</v>
      </c>
      <c r="I473" s="77">
        <f t="shared" si="144"/>
        <v>0</v>
      </c>
      <c r="J473" s="77">
        <f t="shared" si="144"/>
        <v>0</v>
      </c>
      <c r="K473" s="77">
        <f t="shared" si="144"/>
        <v>0</v>
      </c>
      <c r="L473" s="77">
        <f t="shared" si="144"/>
        <v>0</v>
      </c>
      <c r="M473" s="77">
        <f t="shared" si="144"/>
        <v>0</v>
      </c>
      <c r="N473" s="77">
        <f t="shared" si="144"/>
        <v>0</v>
      </c>
      <c r="O473" s="77">
        <f t="shared" si="144"/>
        <v>0</v>
      </c>
    </row>
    <row r="474" spans="3:15" s="28" customFormat="1">
      <c r="C474" s="52" t="s">
        <v>371</v>
      </c>
      <c r="D474" s="157">
        <v>694000</v>
      </c>
      <c r="E474" s="157">
        <v>694000</v>
      </c>
      <c r="F474" s="157">
        <v>694000</v>
      </c>
      <c r="G474" s="157"/>
      <c r="H474" s="157"/>
      <c r="I474" s="157"/>
      <c r="J474" s="157"/>
      <c r="K474" s="157"/>
      <c r="L474" s="157"/>
      <c r="M474" s="157"/>
      <c r="N474" s="157"/>
      <c r="O474" s="157"/>
    </row>
    <row r="475" spans="3:15" s="28" customFormat="1">
      <c r="C475" s="29"/>
      <c r="D475" s="669" t="s">
        <v>90</v>
      </c>
      <c r="E475" s="669"/>
      <c r="F475" s="669"/>
      <c r="G475" s="669"/>
      <c r="H475" s="669"/>
      <c r="I475" s="669"/>
      <c r="J475" s="669"/>
      <c r="K475" s="669"/>
      <c r="L475" s="669"/>
      <c r="M475" s="669"/>
      <c r="N475" s="669"/>
      <c r="O475" s="669"/>
    </row>
    <row r="476" spans="3:15" s="28" customFormat="1">
      <c r="C476" s="423" t="s">
        <v>370</v>
      </c>
      <c r="D476" s="77">
        <f>D477*1.05</f>
        <v>2545647.8701500003</v>
      </c>
      <c r="E476" s="77">
        <f t="shared" ref="E476:F476" si="145">E477*1.05</f>
        <v>2545647.8701500003</v>
      </c>
      <c r="F476" s="77">
        <f t="shared" si="145"/>
        <v>2545647.8701500003</v>
      </c>
      <c r="G476" s="77">
        <f>G477*1.05</f>
        <v>4061753.9424000001</v>
      </c>
      <c r="H476" s="77">
        <f t="shared" ref="H476:K476" si="146">H477*1.05</f>
        <v>4061753.9424000001</v>
      </c>
      <c r="I476" s="77">
        <f t="shared" si="146"/>
        <v>4061753.9424000001</v>
      </c>
      <c r="J476" s="77">
        <f t="shared" si="146"/>
        <v>4061753.9424000001</v>
      </c>
      <c r="K476" s="77">
        <f t="shared" si="146"/>
        <v>4061753.9424000001</v>
      </c>
      <c r="L476" s="77">
        <f>L477*1.05</f>
        <v>5930442.8221500013</v>
      </c>
      <c r="M476" s="77">
        <f t="shared" ref="M476:O476" si="147">M477*($E$494*($E$495/$F$495)+$E$496*($E$497/$F$497))</f>
        <v>0</v>
      </c>
      <c r="N476" s="77">
        <f t="shared" si="147"/>
        <v>0</v>
      </c>
      <c r="O476" s="77">
        <f t="shared" si="147"/>
        <v>0</v>
      </c>
    </row>
    <row r="477" spans="3:15" s="28" customFormat="1">
      <c r="C477" s="52" t="s">
        <v>371</v>
      </c>
      <c r="D477" s="157">
        <v>2424426.5430000001</v>
      </c>
      <c r="E477" s="157">
        <v>2424426.5430000001</v>
      </c>
      <c r="F477" s="157">
        <v>2424426.5430000001</v>
      </c>
      <c r="G477" s="157">
        <v>3868337.088</v>
      </c>
      <c r="H477" s="157">
        <v>3868337.088</v>
      </c>
      <c r="I477" s="157">
        <v>3868337.088</v>
      </c>
      <c r="J477" s="157">
        <v>3868337.088</v>
      </c>
      <c r="K477" s="157">
        <v>3868337.088</v>
      </c>
      <c r="L477" s="157">
        <v>5648040.7830000008</v>
      </c>
      <c r="M477" s="157"/>
      <c r="N477" s="157"/>
      <c r="O477" s="157"/>
    </row>
    <row r="478" spans="3:15" s="28" customFormat="1">
      <c r="C478" s="29"/>
      <c r="D478" s="669" t="s">
        <v>91</v>
      </c>
      <c r="E478" s="669"/>
      <c r="F478" s="669"/>
      <c r="G478" s="669"/>
      <c r="H478" s="669"/>
      <c r="I478" s="669"/>
      <c r="J478" s="669"/>
      <c r="K478" s="669"/>
      <c r="L478" s="669"/>
      <c r="M478" s="669"/>
      <c r="N478" s="669"/>
      <c r="O478" s="669"/>
    </row>
    <row r="479" spans="3:15" s="28" customFormat="1">
      <c r="C479" s="423" t="s">
        <v>370</v>
      </c>
      <c r="D479" s="77">
        <f t="shared" ref="D479:O479" si="148">D480*($E$494*($E$495/$F$495)+$E$496*($E$497/$F$497))</f>
        <v>67310.965944452313</v>
      </c>
      <c r="E479" s="77">
        <f t="shared" si="148"/>
        <v>67310.965944452313</v>
      </c>
      <c r="F479" s="77">
        <f t="shared" si="148"/>
        <v>67310.965944452313</v>
      </c>
      <c r="G479" s="77">
        <f t="shared" si="148"/>
        <v>107697.54551112371</v>
      </c>
      <c r="H479" s="77">
        <f t="shared" si="148"/>
        <v>107697.54551112371</v>
      </c>
      <c r="I479" s="77">
        <f t="shared" si="148"/>
        <v>107697.54551112371</v>
      </c>
      <c r="J479" s="77">
        <f t="shared" si="148"/>
        <v>107697.54551112371</v>
      </c>
      <c r="K479" s="77">
        <f t="shared" si="148"/>
        <v>107697.54551112371</v>
      </c>
      <c r="L479" s="77">
        <f t="shared" si="148"/>
        <v>107697.54551112371</v>
      </c>
      <c r="M479" s="77">
        <f t="shared" si="148"/>
        <v>0</v>
      </c>
      <c r="N479" s="77">
        <f t="shared" si="148"/>
        <v>0</v>
      </c>
      <c r="O479" s="77">
        <f t="shared" si="148"/>
        <v>0</v>
      </c>
    </row>
    <row r="480" spans="3:15" s="28" customFormat="1">
      <c r="C480" s="52" t="s">
        <v>371</v>
      </c>
      <c r="D480" s="157">
        <v>50000</v>
      </c>
      <c r="E480" s="157">
        <v>50000</v>
      </c>
      <c r="F480" s="157">
        <v>50000</v>
      </c>
      <c r="G480" s="157">
        <v>80000</v>
      </c>
      <c r="H480" s="157">
        <v>80000</v>
      </c>
      <c r="I480" s="157">
        <v>80000</v>
      </c>
      <c r="J480" s="157">
        <v>80000</v>
      </c>
      <c r="K480" s="157">
        <v>80000</v>
      </c>
      <c r="L480" s="157">
        <v>80000</v>
      </c>
      <c r="M480" s="157"/>
      <c r="N480" s="157"/>
      <c r="O480" s="157"/>
    </row>
    <row r="481" spans="3:15" s="28" customFormat="1">
      <c r="C481" s="29"/>
      <c r="D481" s="669" t="s">
        <v>92</v>
      </c>
      <c r="E481" s="669"/>
      <c r="F481" s="669"/>
      <c r="G481" s="669"/>
      <c r="H481" s="669"/>
      <c r="I481" s="669"/>
      <c r="J481" s="669"/>
      <c r="K481" s="669"/>
      <c r="L481" s="669"/>
      <c r="M481" s="669"/>
      <c r="N481" s="669"/>
      <c r="O481" s="669"/>
    </row>
    <row r="482" spans="3:15" s="28" customFormat="1">
      <c r="C482" s="423" t="s">
        <v>370</v>
      </c>
      <c r="D482" s="77">
        <f>D483*1.025</f>
        <v>512499.99999999994</v>
      </c>
      <c r="E482" s="77">
        <f t="shared" ref="E482:L482" si="149">E483*1.025</f>
        <v>666250</v>
      </c>
      <c r="F482" s="77">
        <f t="shared" si="149"/>
        <v>871249.99999999988</v>
      </c>
      <c r="G482" s="77">
        <f t="shared" si="149"/>
        <v>1332500</v>
      </c>
      <c r="H482" s="77">
        <f t="shared" si="149"/>
        <v>1844999.9999999998</v>
      </c>
      <c r="I482" s="77">
        <f t="shared" si="149"/>
        <v>2255000</v>
      </c>
      <c r="J482" s="77">
        <f t="shared" si="149"/>
        <v>2665000</v>
      </c>
      <c r="K482" s="77">
        <f t="shared" si="149"/>
        <v>3074999.9999999995</v>
      </c>
      <c r="L482" s="77">
        <f t="shared" si="149"/>
        <v>3587499.9999999995</v>
      </c>
      <c r="M482" s="77">
        <f t="shared" ref="M482:O482" si="150">M483*($E$494*($E$495/$F$495)+$E$496*($E$497/$F$497))</f>
        <v>0</v>
      </c>
      <c r="N482" s="77">
        <f t="shared" si="150"/>
        <v>0</v>
      </c>
      <c r="O482" s="77">
        <f t="shared" si="150"/>
        <v>0</v>
      </c>
    </row>
    <row r="483" spans="3:15" s="28" customFormat="1">
      <c r="C483" s="52" t="s">
        <v>371</v>
      </c>
      <c r="D483" s="157">
        <v>500000</v>
      </c>
      <c r="E483" s="157">
        <v>650000</v>
      </c>
      <c r="F483" s="157">
        <v>850000</v>
      </c>
      <c r="G483" s="157">
        <v>1300000</v>
      </c>
      <c r="H483" s="157">
        <v>1800000</v>
      </c>
      <c r="I483" s="157">
        <v>2200000</v>
      </c>
      <c r="J483" s="157">
        <v>2600000</v>
      </c>
      <c r="K483" s="157">
        <v>3000000</v>
      </c>
      <c r="L483" s="157">
        <v>3500000</v>
      </c>
      <c r="M483" s="157"/>
      <c r="N483" s="157"/>
      <c r="O483" s="157"/>
    </row>
    <row r="484" spans="3:15" s="28" customFormat="1">
      <c r="C484" s="29"/>
      <c r="D484" s="669" t="s">
        <v>93</v>
      </c>
      <c r="E484" s="669"/>
      <c r="F484" s="669"/>
      <c r="G484" s="669"/>
      <c r="H484" s="669"/>
      <c r="I484" s="669"/>
      <c r="J484" s="669"/>
      <c r="K484" s="669"/>
      <c r="L484" s="669"/>
      <c r="M484" s="669"/>
      <c r="N484" s="669"/>
      <c r="O484" s="669"/>
    </row>
    <row r="485" spans="3:15" s="28" customFormat="1">
      <c r="C485" s="423" t="s">
        <v>370</v>
      </c>
      <c r="D485" s="77">
        <f>D486*1.05</f>
        <v>34728.75</v>
      </c>
      <c r="E485" s="77">
        <f t="shared" ref="E485:L485" si="151">E486*1.05</f>
        <v>34728.75</v>
      </c>
      <c r="F485" s="77">
        <f t="shared" si="151"/>
        <v>34728.75</v>
      </c>
      <c r="G485" s="77">
        <f t="shared" si="151"/>
        <v>96468.75</v>
      </c>
      <c r="H485" s="77">
        <f t="shared" si="151"/>
        <v>96468.75</v>
      </c>
      <c r="I485" s="77">
        <f t="shared" si="151"/>
        <v>96468.75</v>
      </c>
      <c r="J485" s="77">
        <f t="shared" si="151"/>
        <v>139020</v>
      </c>
      <c r="K485" s="77">
        <f t="shared" si="151"/>
        <v>3989922.8250000007</v>
      </c>
      <c r="L485" s="77">
        <f t="shared" si="151"/>
        <v>4241387.3250000011</v>
      </c>
      <c r="M485" s="77">
        <f t="shared" ref="M485:O485" si="152">M486*($E$494*($E$495/$F$495)+$E$496*($E$497/$F$497))</f>
        <v>0</v>
      </c>
      <c r="N485" s="77">
        <f t="shared" si="152"/>
        <v>0</v>
      </c>
      <c r="O485" s="77">
        <f t="shared" si="152"/>
        <v>0</v>
      </c>
    </row>
    <row r="486" spans="3:15" s="28" customFormat="1">
      <c r="C486" s="52" t="s">
        <v>371</v>
      </c>
      <c r="D486" s="157">
        <v>33075</v>
      </c>
      <c r="E486" s="157">
        <v>33075</v>
      </c>
      <c r="F486" s="157">
        <v>33075</v>
      </c>
      <c r="G486" s="157">
        <v>91875</v>
      </c>
      <c r="H486" s="157">
        <v>91875</v>
      </c>
      <c r="I486" s="157">
        <v>91875</v>
      </c>
      <c r="J486" s="157">
        <v>132400</v>
      </c>
      <c r="K486" s="157">
        <v>3799926.5000000005</v>
      </c>
      <c r="L486" s="157">
        <v>4039416.5000000005</v>
      </c>
      <c r="M486" s="157"/>
      <c r="N486" s="157"/>
      <c r="O486" s="157"/>
    </row>
    <row r="487" spans="3:15" s="28" customFormat="1">
      <c r="C487" s="29"/>
      <c r="D487" s="669"/>
      <c r="E487" s="669"/>
      <c r="F487" s="669"/>
      <c r="G487" s="669"/>
      <c r="H487" s="669"/>
      <c r="I487" s="669"/>
      <c r="J487" s="669"/>
      <c r="K487" s="669"/>
      <c r="L487" s="669"/>
      <c r="M487" s="669"/>
      <c r="N487" s="669"/>
      <c r="O487" s="669"/>
    </row>
    <row r="488" spans="3:15" s="28" customFormat="1">
      <c r="C488" s="423" t="s">
        <v>370</v>
      </c>
      <c r="D488" s="77">
        <f t="shared" ref="D488:O488" si="153">D489*($E$494*($E$495/$F$495)+$E$496*($E$497/$F$497))</f>
        <v>0</v>
      </c>
      <c r="E488" s="77">
        <f t="shared" si="153"/>
        <v>0</v>
      </c>
      <c r="F488" s="77">
        <f t="shared" si="153"/>
        <v>0</v>
      </c>
      <c r="G488" s="77">
        <f t="shared" si="153"/>
        <v>0</v>
      </c>
      <c r="H488" s="77">
        <f t="shared" si="153"/>
        <v>0</v>
      </c>
      <c r="I488" s="77">
        <f t="shared" si="153"/>
        <v>0</v>
      </c>
      <c r="J488" s="77">
        <f t="shared" si="153"/>
        <v>0</v>
      </c>
      <c r="K488" s="77">
        <f t="shared" si="153"/>
        <v>0</v>
      </c>
      <c r="L488" s="77">
        <f t="shared" si="153"/>
        <v>0</v>
      </c>
      <c r="M488" s="77">
        <f t="shared" si="153"/>
        <v>0</v>
      </c>
      <c r="N488" s="77">
        <f t="shared" si="153"/>
        <v>0</v>
      </c>
      <c r="O488" s="77">
        <f t="shared" si="153"/>
        <v>0</v>
      </c>
    </row>
    <row r="489" spans="3:15" s="28" customFormat="1">
      <c r="C489" s="52" t="s">
        <v>371</v>
      </c>
      <c r="D489" s="157"/>
      <c r="E489" s="157"/>
      <c r="F489" s="157"/>
      <c r="G489" s="157"/>
      <c r="H489" s="157"/>
      <c r="I489" s="157"/>
      <c r="J489" s="157"/>
      <c r="K489" s="157"/>
      <c r="L489" s="157"/>
      <c r="M489" s="157"/>
      <c r="N489" s="157"/>
      <c r="O489" s="157"/>
    </row>
    <row r="490" spans="3:15">
      <c r="C490" s="389" t="s">
        <v>370</v>
      </c>
      <c r="D490" s="77">
        <f>D491*1.05</f>
        <v>264222</v>
      </c>
      <c r="E490" s="77">
        <f t="shared" ref="E490:H490" si="154">E491*1.05</f>
        <v>440370</v>
      </c>
      <c r="F490" s="77">
        <f t="shared" si="154"/>
        <v>675232.95000000007</v>
      </c>
      <c r="G490" s="77">
        <f t="shared" si="154"/>
        <v>1614687.9000000001</v>
      </c>
      <c r="H490" s="77">
        <f t="shared" si="154"/>
        <v>0</v>
      </c>
    </row>
    <row r="491" spans="3:15">
      <c r="C491" s="390" t="s">
        <v>371</v>
      </c>
      <c r="D491" s="58">
        <v>251640</v>
      </c>
      <c r="E491" s="58">
        <v>419400</v>
      </c>
      <c r="F491" s="58">
        <v>643079</v>
      </c>
      <c r="G491" s="58">
        <v>1537798</v>
      </c>
      <c r="H491" s="482"/>
    </row>
    <row r="493" spans="3:15">
      <c r="C493" s="54" t="s">
        <v>208</v>
      </c>
      <c r="D493" s="54"/>
      <c r="E493" s="61">
        <v>2014</v>
      </c>
      <c r="F493" s="61">
        <v>2004</v>
      </c>
    </row>
    <row r="494" spans="3:15">
      <c r="C494" s="52" t="s">
        <v>198</v>
      </c>
      <c r="D494" s="53"/>
      <c r="E494" s="417">
        <v>0.32</v>
      </c>
      <c r="F494" s="14"/>
    </row>
    <row r="495" spans="3:15">
      <c r="C495" s="52" t="s">
        <v>204</v>
      </c>
      <c r="D495" s="53"/>
      <c r="E495" s="418">
        <v>117.48858</v>
      </c>
      <c r="F495" s="418">
        <v>79.96987</v>
      </c>
    </row>
    <row r="496" spans="3:15">
      <c r="C496" s="52" t="s">
        <v>199</v>
      </c>
      <c r="D496" s="53"/>
      <c r="E496" s="417">
        <v>0.68</v>
      </c>
      <c r="F496" s="14"/>
    </row>
    <row r="497" spans="1:17" ht="15.75" thickBot="1">
      <c r="C497" s="24" t="s">
        <v>200</v>
      </c>
      <c r="D497" s="24"/>
      <c r="E497" s="75">
        <v>120.14</v>
      </c>
      <c r="F497" s="75">
        <v>93.25</v>
      </c>
    </row>
    <row r="500" spans="1:17" s="28" customFormat="1">
      <c r="A500" s="573"/>
      <c r="B500" s="574"/>
      <c r="C500" s="575" t="s">
        <v>434</v>
      </c>
      <c r="M500" s="576"/>
      <c r="N500" s="576"/>
      <c r="O500" s="577"/>
      <c r="P500" s="578"/>
      <c r="Q500" s="579"/>
    </row>
    <row r="501" spans="1:17" s="28" customFormat="1">
      <c r="A501" s="573"/>
      <c r="B501" s="574"/>
      <c r="C501" s="575" t="s">
        <v>415</v>
      </c>
      <c r="M501" s="576"/>
      <c r="N501" s="576"/>
      <c r="O501" s="577"/>
      <c r="P501" s="578"/>
      <c r="Q501" s="579"/>
    </row>
  </sheetData>
  <mergeCells count="325">
    <mergeCell ref="D478:O478"/>
    <mergeCell ref="D481:O481"/>
    <mergeCell ref="D484:O484"/>
    <mergeCell ref="D487:O487"/>
    <mergeCell ref="D418:O418"/>
    <mergeCell ref="D421:O421"/>
    <mergeCell ref="D424:O424"/>
    <mergeCell ref="D427:O427"/>
    <mergeCell ref="D430:O430"/>
    <mergeCell ref="D433:O433"/>
    <mergeCell ref="D436:O436"/>
    <mergeCell ref="D439:O439"/>
    <mergeCell ref="D442:O442"/>
    <mergeCell ref="D445:O445"/>
    <mergeCell ref="D448:O448"/>
    <mergeCell ref="D451:O451"/>
    <mergeCell ref="D454:O454"/>
    <mergeCell ref="D457:O457"/>
    <mergeCell ref="D460:O460"/>
    <mergeCell ref="D463:O463"/>
    <mergeCell ref="D466:O466"/>
    <mergeCell ref="D469:O469"/>
    <mergeCell ref="D472:O472"/>
    <mergeCell ref="D475:O475"/>
    <mergeCell ref="D406:O406"/>
    <mergeCell ref="D409:O409"/>
    <mergeCell ref="D412:O412"/>
    <mergeCell ref="D415:O415"/>
    <mergeCell ref="A1:C1"/>
    <mergeCell ref="A2:C2"/>
    <mergeCell ref="D361:O361"/>
    <mergeCell ref="D379:O379"/>
    <mergeCell ref="D382:O382"/>
    <mergeCell ref="D86:O86"/>
    <mergeCell ref="A59:C59"/>
    <mergeCell ref="D348:O348"/>
    <mergeCell ref="J250:M250"/>
    <mergeCell ref="N250:O250"/>
    <mergeCell ref="A253:C253"/>
    <mergeCell ref="A239:Q240"/>
    <mergeCell ref="A241:C241"/>
    <mergeCell ref="P241:Q241"/>
    <mergeCell ref="D242:H242"/>
    <mergeCell ref="J242:M242"/>
    <mergeCell ref="A66:C66"/>
    <mergeCell ref="P66:Q66"/>
    <mergeCell ref="P9:Q9"/>
    <mergeCell ref="P41:Q41"/>
    <mergeCell ref="P151:Q151"/>
    <mergeCell ref="N242:O242"/>
    <mergeCell ref="P261:Q261"/>
    <mergeCell ref="P219:Q219"/>
    <mergeCell ref="P229:Q229"/>
    <mergeCell ref="A298:N299"/>
    <mergeCell ref="C303:J303"/>
    <mergeCell ref="D304:J304"/>
    <mergeCell ref="A188:Q189"/>
    <mergeCell ref="A236:C236"/>
    <mergeCell ref="P236:Q236"/>
    <mergeCell ref="P231:Q231"/>
    <mergeCell ref="P232:Q232"/>
    <mergeCell ref="P233:Q233"/>
    <mergeCell ref="P234:Q234"/>
    <mergeCell ref="P235:Q235"/>
    <mergeCell ref="P228:Q228"/>
    <mergeCell ref="A212:C212"/>
    <mergeCell ref="P285:Q285"/>
    <mergeCell ref="P252:Q252"/>
    <mergeCell ref="P253:Q253"/>
    <mergeCell ref="A245:C245"/>
    <mergeCell ref="P245:Q245"/>
    <mergeCell ref="A247:Q248"/>
    <mergeCell ref="D397:O397"/>
    <mergeCell ref="D400:O400"/>
    <mergeCell ref="D403:O403"/>
    <mergeCell ref="D364:O364"/>
    <mergeCell ref="Q378:R378"/>
    <mergeCell ref="D373:O373"/>
    <mergeCell ref="D376:O376"/>
    <mergeCell ref="D367:O367"/>
    <mergeCell ref="D370:O370"/>
    <mergeCell ref="Q376:R376"/>
    <mergeCell ref="Q377:R377"/>
    <mergeCell ref="D385:O385"/>
    <mergeCell ref="D388:O388"/>
    <mergeCell ref="D391:O391"/>
    <mergeCell ref="D394:O394"/>
    <mergeCell ref="P154:Q154"/>
    <mergeCell ref="P153:Q153"/>
    <mergeCell ref="P227:Q227"/>
    <mergeCell ref="P211:Q211"/>
    <mergeCell ref="P212:Q212"/>
    <mergeCell ref="A215:Q216"/>
    <mergeCell ref="A217:C217"/>
    <mergeCell ref="P217:Q217"/>
    <mergeCell ref="A176:C176"/>
    <mergeCell ref="A190:C190"/>
    <mergeCell ref="P190:Q190"/>
    <mergeCell ref="P181:Q181"/>
    <mergeCell ref="P182:Q182"/>
    <mergeCell ref="P183:Q183"/>
    <mergeCell ref="A179:Q180"/>
    <mergeCell ref="P171:Q171"/>
    <mergeCell ref="P185:Q185"/>
    <mergeCell ref="B182:C182"/>
    <mergeCell ref="A208:Q209"/>
    <mergeCell ref="A210:C210"/>
    <mergeCell ref="P210:Q210"/>
    <mergeCell ref="P201:Q201"/>
    <mergeCell ref="D352:O352"/>
    <mergeCell ref="A191:C191"/>
    <mergeCell ref="A196:C196"/>
    <mergeCell ref="P191:Q191"/>
    <mergeCell ref="P193:Q193"/>
    <mergeCell ref="P192:Q192"/>
    <mergeCell ref="P194:Q194"/>
    <mergeCell ref="P195:Q195"/>
    <mergeCell ref="P196:Q196"/>
    <mergeCell ref="F335:G335"/>
    <mergeCell ref="I335:J335"/>
    <mergeCell ref="L335:M335"/>
    <mergeCell ref="C336:D336"/>
    <mergeCell ref="F336:G336"/>
    <mergeCell ref="I336:J336"/>
    <mergeCell ref="P218:Q218"/>
    <mergeCell ref="A219:C219"/>
    <mergeCell ref="P258:Q258"/>
    <mergeCell ref="P230:Q230"/>
    <mergeCell ref="A224:C224"/>
    <mergeCell ref="P224:Q224"/>
    <mergeCell ref="P264:Q264"/>
    <mergeCell ref="P274:Q274"/>
    <mergeCell ref="P251:Q251"/>
    <mergeCell ref="P262:Q262"/>
    <mergeCell ref="P89:Q89"/>
    <mergeCell ref="A98:D101"/>
    <mergeCell ref="E98:O99"/>
    <mergeCell ref="E100:O101"/>
    <mergeCell ref="A119:C119"/>
    <mergeCell ref="A104:C104"/>
    <mergeCell ref="A114:C114"/>
    <mergeCell ref="A102:Q103"/>
    <mergeCell ref="P144:Q144"/>
    <mergeCell ref="P176:Q176"/>
    <mergeCell ref="P111:Q111"/>
    <mergeCell ref="P112:Q112"/>
    <mergeCell ref="P173:Q173"/>
    <mergeCell ref="P174:Q174"/>
    <mergeCell ref="P172:Q172"/>
    <mergeCell ref="P113:Q113"/>
    <mergeCell ref="P121:Q121"/>
    <mergeCell ref="P149:Q149"/>
    <mergeCell ref="P157:Q157"/>
    <mergeCell ref="P158:Q158"/>
    <mergeCell ref="P160:Q160"/>
    <mergeCell ref="P156:Q156"/>
    <mergeCell ref="P155:Q155"/>
    <mergeCell ref="N29:O29"/>
    <mergeCell ref="P11:Q11"/>
    <mergeCell ref="P20:Q20"/>
    <mergeCell ref="P21:Q21"/>
    <mergeCell ref="P22:Q22"/>
    <mergeCell ref="P23:Q23"/>
    <mergeCell ref="A26:Q27"/>
    <mergeCell ref="A28:C28"/>
    <mergeCell ref="P28:Q28"/>
    <mergeCell ref="D29:H29"/>
    <mergeCell ref="P80:Q80"/>
    <mergeCell ref="A40:C40"/>
    <mergeCell ref="A57:Q58"/>
    <mergeCell ref="P59:Q59"/>
    <mergeCell ref="C45:E45"/>
    <mergeCell ref="P82:Q82"/>
    <mergeCell ref="A78:Q79"/>
    <mergeCell ref="D81:H81"/>
    <mergeCell ref="J81:M81"/>
    <mergeCell ref="N81:O81"/>
    <mergeCell ref="P81:Q81"/>
    <mergeCell ref="D60:H60"/>
    <mergeCell ref="J60:M60"/>
    <mergeCell ref="N60:O60"/>
    <mergeCell ref="P106:Q106"/>
    <mergeCell ref="P105:Q105"/>
    <mergeCell ref="P104:Q104"/>
    <mergeCell ref="P83:Q83"/>
    <mergeCell ref="A38:Q39"/>
    <mergeCell ref="A144:C144"/>
    <mergeCell ref="A129:C129"/>
    <mergeCell ref="A134:C134"/>
    <mergeCell ref="P139:Q139"/>
    <mergeCell ref="P140:Q140"/>
    <mergeCell ref="P142:Q142"/>
    <mergeCell ref="P141:Q141"/>
    <mergeCell ref="P110:Q110"/>
    <mergeCell ref="P109:Q109"/>
    <mergeCell ref="P108:Q108"/>
    <mergeCell ref="P107:Q107"/>
    <mergeCell ref="A132:Q133"/>
    <mergeCell ref="P134:Q134"/>
    <mergeCell ref="P135:Q135"/>
    <mergeCell ref="P136:Q136"/>
    <mergeCell ref="P137:Q137"/>
    <mergeCell ref="P120:Q120"/>
    <mergeCell ref="P119:Q119"/>
    <mergeCell ref="A117:Q118"/>
    <mergeCell ref="A5:C5"/>
    <mergeCell ref="A3:Q4"/>
    <mergeCell ref="P5:Q5"/>
    <mergeCell ref="P6:Q6"/>
    <mergeCell ref="D6:G6"/>
    <mergeCell ref="N6:O6"/>
    <mergeCell ref="J6:M6"/>
    <mergeCell ref="P40:Q40"/>
    <mergeCell ref="D41:H41"/>
    <mergeCell ref="J41:M41"/>
    <mergeCell ref="N41:O41"/>
    <mergeCell ref="P30:Q30"/>
    <mergeCell ref="P31:Q31"/>
    <mergeCell ref="P10:Q10"/>
    <mergeCell ref="A16:Q17"/>
    <mergeCell ref="A18:C18"/>
    <mergeCell ref="P18:Q18"/>
    <mergeCell ref="A19:C19"/>
    <mergeCell ref="J19:M19"/>
    <mergeCell ref="N19:O19"/>
    <mergeCell ref="P19:Q19"/>
    <mergeCell ref="P29:Q29"/>
    <mergeCell ref="A23:C23"/>
    <mergeCell ref="J29:M29"/>
    <mergeCell ref="D19:G19"/>
    <mergeCell ref="A147:Q148"/>
    <mergeCell ref="P126:Q126"/>
    <mergeCell ref="P114:Q114"/>
    <mergeCell ref="P61:Q61"/>
    <mergeCell ref="P63:Q63"/>
    <mergeCell ref="P64:Q64"/>
    <mergeCell ref="P65:Q65"/>
    <mergeCell ref="P98:Q99"/>
    <mergeCell ref="P100:Q100"/>
    <mergeCell ref="P32:Q32"/>
    <mergeCell ref="P34:Q34"/>
    <mergeCell ref="P35:Q35"/>
    <mergeCell ref="P33:Q33"/>
    <mergeCell ref="P42:Q42"/>
    <mergeCell ref="D46:E46"/>
    <mergeCell ref="P124:Q124"/>
    <mergeCell ref="P123:Q123"/>
    <mergeCell ref="P122:Q122"/>
    <mergeCell ref="D71:H71"/>
    <mergeCell ref="J71:M71"/>
    <mergeCell ref="N71:O71"/>
    <mergeCell ref="P71:Q71"/>
    <mergeCell ref="P101:Q101"/>
    <mergeCell ref="D358:O358"/>
    <mergeCell ref="A222:Q223"/>
    <mergeCell ref="D225:H225"/>
    <mergeCell ref="J225:M225"/>
    <mergeCell ref="N225:O225"/>
    <mergeCell ref="A255:Q256"/>
    <mergeCell ref="A257:C257"/>
    <mergeCell ref="P257:Q257"/>
    <mergeCell ref="D258:H258"/>
    <mergeCell ref="J258:M258"/>
    <mergeCell ref="N258:O258"/>
    <mergeCell ref="C318:J318"/>
    <mergeCell ref="D319:J319"/>
    <mergeCell ref="C334:D334"/>
    <mergeCell ref="F334:G334"/>
    <mergeCell ref="I334:J334"/>
    <mergeCell ref="L334:M334"/>
    <mergeCell ref="C335:D335"/>
    <mergeCell ref="A249:C249"/>
    <mergeCell ref="P249:Q249"/>
    <mergeCell ref="D250:H250"/>
    <mergeCell ref="A262:C262"/>
    <mergeCell ref="P260:Q260"/>
    <mergeCell ref="P259:Q259"/>
    <mergeCell ref="A6:C6"/>
    <mergeCell ref="P170:Q170"/>
    <mergeCell ref="P169:Q169"/>
    <mergeCell ref="P168:Q168"/>
    <mergeCell ref="P203:Q203"/>
    <mergeCell ref="A198:Q199"/>
    <mergeCell ref="A200:C200"/>
    <mergeCell ref="P200:Q200"/>
    <mergeCell ref="D355:O355"/>
    <mergeCell ref="A342:Q342"/>
    <mergeCell ref="P150:Q150"/>
    <mergeCell ref="P72:Q72"/>
    <mergeCell ref="P73:Q73"/>
    <mergeCell ref="P74:Q74"/>
    <mergeCell ref="P75:Q75"/>
    <mergeCell ref="P76:Q76"/>
    <mergeCell ref="P7:Q7"/>
    <mergeCell ref="P8:Q8"/>
    <mergeCell ref="P12:Q12"/>
    <mergeCell ref="P62:Q62"/>
    <mergeCell ref="P60:Q60"/>
    <mergeCell ref="A68:Q69"/>
    <mergeCell ref="A70:C70"/>
    <mergeCell ref="P70:Q70"/>
    <mergeCell ref="P205:Q205"/>
    <mergeCell ref="A80:C81"/>
    <mergeCell ref="A82:C82"/>
    <mergeCell ref="L336:M336"/>
    <mergeCell ref="C337:D337"/>
    <mergeCell ref="F337:G337"/>
    <mergeCell ref="I337:J337"/>
    <mergeCell ref="L337:M337"/>
    <mergeCell ref="P152:Q152"/>
    <mergeCell ref="P129:Q129"/>
    <mergeCell ref="P127:Q127"/>
    <mergeCell ref="P125:Q125"/>
    <mergeCell ref="P138:Q138"/>
    <mergeCell ref="P167:Q167"/>
    <mergeCell ref="P166:Q166"/>
    <mergeCell ref="P165:Q165"/>
    <mergeCell ref="A163:Q164"/>
    <mergeCell ref="A149:C149"/>
    <mergeCell ref="A160:C160"/>
    <mergeCell ref="A165:C165"/>
    <mergeCell ref="P202:Q202"/>
    <mergeCell ref="B183:C183"/>
    <mergeCell ref="A181:C181"/>
    <mergeCell ref="A185:C185"/>
  </mergeCells>
  <pageMargins left="0.7" right="0.7" top="0.75" bottom="0.75" header="0.3" footer="0.3"/>
  <pageSetup paperSize="9" orientation="portrait" r:id="rId1"/>
  <ignoredErrors>
    <ignoredError sqref="E262 N231 G19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3"/>
  <sheetViews>
    <sheetView topLeftCell="A4" zoomScale="86" zoomScaleNormal="86" workbookViewId="0">
      <selection activeCell="C3" sqref="C3:K3"/>
    </sheetView>
  </sheetViews>
  <sheetFormatPr baseColWidth="10" defaultRowHeight="15"/>
  <cols>
    <col min="1" max="1" width="4" style="28" customWidth="1"/>
    <col min="2" max="2" width="40.85546875" customWidth="1"/>
    <col min="3" max="11" width="15.7109375" customWidth="1"/>
    <col min="12" max="12" width="28.140625" customWidth="1"/>
  </cols>
  <sheetData>
    <row r="1" spans="1:12" ht="25.5" customHeight="1">
      <c r="A1" s="882" t="s">
        <v>98</v>
      </c>
      <c r="B1" s="883"/>
      <c r="C1" s="864" t="s">
        <v>430</v>
      </c>
      <c r="D1" s="865"/>
      <c r="E1" s="865"/>
      <c r="F1" s="865"/>
      <c r="G1" s="865"/>
      <c r="H1" s="865"/>
      <c r="I1" s="865"/>
      <c r="J1" s="865"/>
      <c r="K1" s="866"/>
      <c r="L1" s="421" t="s">
        <v>194</v>
      </c>
    </row>
    <row r="2" spans="1:12" ht="27" customHeight="1">
      <c r="A2" s="884"/>
      <c r="B2" s="885"/>
      <c r="C2" s="867"/>
      <c r="D2" s="868"/>
      <c r="E2" s="868"/>
      <c r="F2" s="868"/>
      <c r="G2" s="868"/>
      <c r="H2" s="868"/>
      <c r="I2" s="868"/>
      <c r="J2" s="868"/>
      <c r="K2" s="869"/>
      <c r="L2" s="422" t="s">
        <v>403</v>
      </c>
    </row>
    <row r="3" spans="1:12" ht="27" customHeight="1" thickBot="1">
      <c r="A3" s="884"/>
      <c r="B3" s="885"/>
      <c r="C3" s="867" t="s">
        <v>193</v>
      </c>
      <c r="D3" s="868"/>
      <c r="E3" s="868"/>
      <c r="F3" s="868"/>
      <c r="G3" s="868"/>
      <c r="H3" s="868"/>
      <c r="I3" s="868"/>
      <c r="J3" s="868"/>
      <c r="K3" s="869"/>
      <c r="L3" s="493">
        <v>41962</v>
      </c>
    </row>
    <row r="4" spans="1:12">
      <c r="A4" s="876"/>
      <c r="B4" s="877"/>
      <c r="C4" s="877"/>
      <c r="D4" s="877"/>
      <c r="E4" s="877"/>
      <c r="F4" s="877"/>
      <c r="G4" s="877"/>
      <c r="H4" s="877"/>
      <c r="I4" s="877"/>
      <c r="J4" s="877"/>
      <c r="K4" s="877"/>
      <c r="L4" s="878"/>
    </row>
    <row r="5" spans="1:12">
      <c r="A5" s="879"/>
      <c r="B5" s="880"/>
      <c r="C5" s="880"/>
      <c r="D5" s="880"/>
      <c r="E5" s="880"/>
      <c r="F5" s="880"/>
      <c r="G5" s="880"/>
      <c r="H5" s="880"/>
      <c r="I5" s="880"/>
      <c r="J5" s="880"/>
      <c r="K5" s="880"/>
      <c r="L5" s="881"/>
    </row>
    <row r="6" spans="1:12" ht="23.45" customHeight="1">
      <c r="A6" s="870" t="s">
        <v>31</v>
      </c>
      <c r="B6" s="871"/>
      <c r="C6" s="427" t="s">
        <v>0</v>
      </c>
      <c r="D6" s="427" t="s">
        <v>1</v>
      </c>
      <c r="E6" s="427" t="s">
        <v>2</v>
      </c>
      <c r="F6" s="427" t="s">
        <v>3</v>
      </c>
      <c r="G6" s="427" t="s">
        <v>4</v>
      </c>
      <c r="H6" s="427" t="s">
        <v>5</v>
      </c>
      <c r="I6" s="427" t="s">
        <v>6</v>
      </c>
      <c r="J6" s="427" t="s">
        <v>7</v>
      </c>
      <c r="K6" s="427" t="s">
        <v>8</v>
      </c>
      <c r="L6" s="304" t="s">
        <v>94</v>
      </c>
    </row>
    <row r="7" spans="1:12">
      <c r="A7" s="874" t="s">
        <v>9</v>
      </c>
      <c r="B7" s="875"/>
      <c r="C7" s="886"/>
      <c r="D7" s="887"/>
      <c r="E7" s="887"/>
      <c r="F7" s="887"/>
      <c r="G7" s="887"/>
      <c r="H7" s="887"/>
      <c r="I7" s="887"/>
      <c r="J7" s="887"/>
      <c r="K7" s="887"/>
      <c r="L7" s="888"/>
    </row>
    <row r="8" spans="1:12" ht="17.25" customHeight="1">
      <c r="A8" s="872" t="s">
        <v>10</v>
      </c>
      <c r="B8" s="873"/>
      <c r="C8" s="112"/>
      <c r="D8" s="112"/>
      <c r="E8" s="112"/>
      <c r="F8" s="112"/>
      <c r="G8" s="112"/>
      <c r="H8" s="112"/>
      <c r="I8" s="112"/>
      <c r="J8" s="112"/>
      <c r="K8" s="112"/>
      <c r="L8" s="7"/>
    </row>
    <row r="9" spans="1:12" s="28" customFormat="1">
      <c r="A9" s="307"/>
      <c r="B9" s="303" t="str">
        <f>'03-APU-NUEV UNC 2014'!C35</f>
        <v>Subtotal  Equipos Menores y herr. de mano</v>
      </c>
      <c r="C9" s="103">
        <f>'03-APU-NUEV UNC 2014'!D35</f>
        <v>2704864.0886468608</v>
      </c>
      <c r="D9" s="103">
        <f>'03-APU-NUEV UNC 2014'!E35</f>
        <v>2704864.0886468608</v>
      </c>
      <c r="E9" s="103">
        <f>'03-APU-NUEV UNC 2014'!F35</f>
        <v>2704864.0886468608</v>
      </c>
      <c r="F9" s="103">
        <f>'03-APU-NUEV UNC 2014'!G35</f>
        <v>2753123.7286468609</v>
      </c>
      <c r="G9" s="103">
        <f>'03-APU-NUEV UNC 2014'!H35</f>
        <v>2753123.7286468609</v>
      </c>
      <c r="H9" s="103">
        <f>'03-APU-NUEV UNC 2014'!I35</f>
        <v>3261118.0286468607</v>
      </c>
      <c r="I9" s="103">
        <f>'03-APU-NUEV UNC 2014'!J35</f>
        <v>3769112.328646861</v>
      </c>
      <c r="J9" s="103">
        <f>'03-APU-NUEV UNC 2014'!K35</f>
        <v>3769112.328646861</v>
      </c>
      <c r="K9" s="103">
        <f>'03-APU-NUEV UNC 2014'!L35</f>
        <v>3769112.328646861</v>
      </c>
      <c r="L9" s="305" t="s">
        <v>345</v>
      </c>
    </row>
    <row r="10" spans="1:12" s="28" customFormat="1">
      <c r="A10" s="307"/>
      <c r="B10" s="303" t="str">
        <f>'03-APU-NUEV UNC 2014'!C43</f>
        <v>Subtotal  Equipos de perforacion</v>
      </c>
      <c r="C10" s="103">
        <f>'03-APU-NUEV UNC 2014'!D43*1.3</f>
        <v>1857700</v>
      </c>
      <c r="D10" s="103">
        <f>'03-APU-NUEV UNC 2014'!E43/1.1</f>
        <v>8900909.0909090899</v>
      </c>
      <c r="E10" s="103">
        <f>'03-APU-NUEV UNC 2014'!F43/1.1</f>
        <v>8900909.0909090899</v>
      </c>
      <c r="F10" s="103">
        <f>'03-APU-NUEV UNC 2014'!G43</f>
        <v>9980000</v>
      </c>
      <c r="G10" s="103">
        <f>'03-APU-NUEV UNC 2014'!H43</f>
        <v>9980000</v>
      </c>
      <c r="H10" s="103">
        <f>'03-APU-NUEV UNC 2014'!I43</f>
        <v>9980000</v>
      </c>
      <c r="I10" s="103">
        <f>'03-APU-NUEV UNC 2014'!J43</f>
        <v>32896000</v>
      </c>
      <c r="J10" s="103">
        <f>'03-APU-NUEV UNC 2014'!K43</f>
        <v>32896000</v>
      </c>
      <c r="K10" s="103">
        <f>'03-APU-NUEV UNC 2014'!L43</f>
        <v>32896000</v>
      </c>
      <c r="L10" s="305" t="s">
        <v>345</v>
      </c>
    </row>
    <row r="11" spans="1:12" s="28" customFormat="1" ht="16.5" customHeight="1">
      <c r="A11" s="307"/>
      <c r="B11" s="303" t="str">
        <f>'03-APU-NUEV UNC 2014'!C65</f>
        <v>Subtotal  Transporte Equipos y htas</v>
      </c>
      <c r="C11" s="103">
        <f>'03-APU-NUEV UNC 2014'!D65*1.06</f>
        <v>2330936.1133333337</v>
      </c>
      <c r="D11" s="103">
        <f>'03-APU-NUEV UNC 2014'!E65*1.06</f>
        <v>2330936.1133333337</v>
      </c>
      <c r="E11" s="103">
        <f>'03-APU-NUEV UNC 2014'!F65*1.06</f>
        <v>2330936.1133333337</v>
      </c>
      <c r="F11" s="103">
        <f>'03-APU-NUEV UNC 2014'!G65*1.06</f>
        <v>2330936.1133333337</v>
      </c>
      <c r="G11" s="103">
        <f>'03-APU-NUEV UNC 2014'!H65*1.06</f>
        <v>2330936.1133333337</v>
      </c>
      <c r="H11" s="103">
        <f>'03-APU-NUEV UNC 2014'!I65</f>
        <v>2628094.3333333335</v>
      </c>
      <c r="I11" s="103">
        <f>'03-APU-NUEV UNC 2014'!J65</f>
        <v>3021775.666666667</v>
      </c>
      <c r="J11" s="103">
        <f>'03-APU-NUEV UNC 2014'!K65</f>
        <v>3057192.3333333335</v>
      </c>
      <c r="K11" s="103">
        <f>'03-APU-NUEV UNC 2014'!L65</f>
        <v>3092609</v>
      </c>
      <c r="L11" s="305" t="s">
        <v>345</v>
      </c>
    </row>
    <row r="12" spans="1:12" s="28" customFormat="1">
      <c r="A12" s="414"/>
      <c r="B12" s="415" t="str">
        <f>'03-APU-NUEV UNC 2014'!C76</f>
        <v>Subtotal  Otros Gastos</v>
      </c>
      <c r="C12" s="406">
        <f>'03-APU-NUEV UNC 2014'!D76*1.05</f>
        <v>769650</v>
      </c>
      <c r="D12" s="406">
        <f>'03-APU-NUEV UNC 2014'!E76*1.05</f>
        <v>769650</v>
      </c>
      <c r="E12" s="406">
        <f>'03-APU-NUEV UNC 2014'!F76*1.06</f>
        <v>776980</v>
      </c>
      <c r="F12" s="406">
        <f>'03-APU-NUEV UNC 2014'!G76*1.4</f>
        <v>1026199.9999999999</v>
      </c>
      <c r="G12" s="406">
        <f>'03-APU-NUEV UNC 2014'!H76*1.4</f>
        <v>1026199.9999999999</v>
      </c>
      <c r="H12" s="406">
        <f>'03-APU-NUEV UNC 2014'!I76*1.4</f>
        <v>1026199.9999999999</v>
      </c>
      <c r="I12" s="406">
        <f>'03-APU-NUEV UNC 2014'!J76*1.4</f>
        <v>1026199.9999999999</v>
      </c>
      <c r="J12" s="406">
        <f>'03-APU-NUEV UNC 2014'!K76*1.4</f>
        <v>1026199.9999999999</v>
      </c>
      <c r="K12" s="406">
        <f>'03-APU-NUEV UNC 2014'!L76*1.4</f>
        <v>1026199.9999999999</v>
      </c>
      <c r="L12" s="407" t="s">
        <v>345</v>
      </c>
    </row>
    <row r="13" spans="1:12" s="28" customFormat="1" ht="15.75" thickBot="1">
      <c r="A13" s="497"/>
      <c r="B13" s="498" t="s">
        <v>407</v>
      </c>
      <c r="C13" s="499">
        <f>SUM(C9:C12)*0.16</f>
        <v>1226104.0323168312</v>
      </c>
      <c r="D13" s="499">
        <f t="shared" ref="D13:K13" si="0">SUM(D9:D12)*0.16</f>
        <v>2353017.4868622855</v>
      </c>
      <c r="E13" s="499">
        <f t="shared" si="0"/>
        <v>2354190.2868622853</v>
      </c>
      <c r="F13" s="499">
        <f t="shared" si="0"/>
        <v>2574441.5747168311</v>
      </c>
      <c r="G13" s="499">
        <f t="shared" si="0"/>
        <v>2574441.5747168311</v>
      </c>
      <c r="H13" s="499">
        <f t="shared" si="0"/>
        <v>2703265.9779168307</v>
      </c>
      <c r="I13" s="499">
        <f t="shared" si="0"/>
        <v>6514094.0792501643</v>
      </c>
      <c r="J13" s="499">
        <f t="shared" si="0"/>
        <v>6519760.7459168313</v>
      </c>
      <c r="K13" s="499">
        <f t="shared" si="0"/>
        <v>6525427.4125834983</v>
      </c>
      <c r="L13" s="500"/>
    </row>
    <row r="14" spans="1:12" s="28" customFormat="1" ht="15.75" thickBot="1">
      <c r="A14" s="412"/>
      <c r="B14" s="416" t="s">
        <v>344</v>
      </c>
      <c r="C14" s="491">
        <f>SUM(C9:C13)</f>
        <v>8889254.2342970259</v>
      </c>
      <c r="D14" s="491">
        <f t="shared" ref="D14:K14" si="1">SUM(D9:D13)</f>
        <v>17059376.779751569</v>
      </c>
      <c r="E14" s="491">
        <f t="shared" si="1"/>
        <v>17067879.57975157</v>
      </c>
      <c r="F14" s="491">
        <f t="shared" si="1"/>
        <v>18664701.416697025</v>
      </c>
      <c r="G14" s="491">
        <f t="shared" si="1"/>
        <v>18664701.416697025</v>
      </c>
      <c r="H14" s="491">
        <f t="shared" si="1"/>
        <v>19598678.339897022</v>
      </c>
      <c r="I14" s="491">
        <f t="shared" si="1"/>
        <v>47227182.07456369</v>
      </c>
      <c r="J14" s="491">
        <f t="shared" si="1"/>
        <v>47268265.407897025</v>
      </c>
      <c r="K14" s="491">
        <f t="shared" si="1"/>
        <v>47309348.741230361</v>
      </c>
      <c r="L14" s="408"/>
    </row>
    <row r="15" spans="1:12" ht="15.75" thickBot="1">
      <c r="A15" s="494"/>
      <c r="B15" s="386"/>
      <c r="C15" s="386"/>
      <c r="D15" s="386"/>
      <c r="E15" s="386"/>
      <c r="F15" s="386"/>
      <c r="G15" s="386"/>
      <c r="H15" s="386"/>
      <c r="I15" s="386"/>
      <c r="J15" s="386"/>
      <c r="K15" s="386"/>
      <c r="L15" s="495"/>
    </row>
    <row r="16" spans="1:12">
      <c r="A16" s="308" t="s">
        <v>13</v>
      </c>
      <c r="B16" s="309"/>
      <c r="C16" s="310"/>
      <c r="D16" s="311"/>
      <c r="E16" s="311"/>
      <c r="F16" s="311"/>
      <c r="G16" s="311"/>
      <c r="H16" s="311"/>
      <c r="I16" s="311"/>
      <c r="J16" s="311"/>
      <c r="K16" s="311"/>
      <c r="L16" s="312"/>
    </row>
    <row r="17" spans="1:12">
      <c r="A17" s="306"/>
      <c r="B17" s="428" t="s">
        <v>14</v>
      </c>
      <c r="C17" s="103"/>
      <c r="D17" s="103"/>
      <c r="E17" s="103">
        <f>E55*D50</f>
        <v>1439474.3193600001</v>
      </c>
      <c r="F17" s="103">
        <f>E57*D50/1.8</f>
        <v>3198326.9546666667</v>
      </c>
      <c r="G17" s="103">
        <f>E57*D50</f>
        <v>5756988.5184000004</v>
      </c>
      <c r="H17" s="103">
        <f>E36*D29</f>
        <v>8863028.5764095988</v>
      </c>
      <c r="I17" s="103">
        <f>E37*D29</f>
        <v>12762990.390988799</v>
      </c>
      <c r="J17" s="103">
        <f>E38*D29</f>
        <v>17371688.8370688</v>
      </c>
      <c r="K17" s="103">
        <f>E39*D29</f>
        <v>22689760.695091199</v>
      </c>
      <c r="L17" s="305" t="s">
        <v>345</v>
      </c>
    </row>
    <row r="18" spans="1:12">
      <c r="A18" s="306"/>
      <c r="B18" s="428" t="s">
        <v>15</v>
      </c>
      <c r="C18" s="103">
        <f>'03-APU-NUEV UNC 2014'!D88</f>
        <v>471176.76161116624</v>
      </c>
      <c r="D18" s="57">
        <f>'03-APU-NUEV UNC 2014'!E88</f>
        <v>673109.65944452316</v>
      </c>
      <c r="E18" s="57">
        <f>'03-APU-NUEV UNC 2014'!F88</f>
        <v>875042.55727788014</v>
      </c>
      <c r="F18" s="57">
        <f>'03-APU-NUEV UNC 2014'!G88</f>
        <v>1278908.3529445941</v>
      </c>
      <c r="G18" s="57">
        <f>'03-APU-NUEV UNC 2014'!H88</f>
        <v>1615463.1826668556</v>
      </c>
      <c r="H18" s="57">
        <f>'03-APU-NUEV UNC 2014'!I88</f>
        <v>2019328.9783335696</v>
      </c>
      <c r="I18" s="57">
        <f>'03-APU-NUEV UNC 2014'!J88</f>
        <v>2423194.7740002833</v>
      </c>
      <c r="J18" s="57">
        <f>'03-APU-NUEV UNC 2014'!K88</f>
        <v>2827060.5696669975</v>
      </c>
      <c r="K18" s="57">
        <f>'03-APU-NUEV UNC 2014'!$L$88</f>
        <v>3230926.3653337113</v>
      </c>
      <c r="L18" s="305" t="s">
        <v>345</v>
      </c>
    </row>
    <row r="19" spans="1:12">
      <c r="A19" s="410"/>
      <c r="B19" s="411" t="s">
        <v>11</v>
      </c>
      <c r="C19" s="406">
        <f>'03-APU-NUEV UNC 2014'!$D$83</f>
        <v>1532000</v>
      </c>
      <c r="D19" s="406">
        <f>'03-APU-NUEV UNC 2014'!$D$83</f>
        <v>1532000</v>
      </c>
      <c r="E19" s="406">
        <f>'03-APU-NUEV UNC 2014'!$D$83</f>
        <v>1532000</v>
      </c>
      <c r="F19" s="406">
        <f>'03-APU-NUEV UNC 2014'!$D$83</f>
        <v>1532000</v>
      </c>
      <c r="G19" s="406">
        <f>'03-APU-NUEV UNC 2014'!$D$83</f>
        <v>1532000</v>
      </c>
      <c r="H19" s="406">
        <f>'03-APU-NUEV UNC 2014'!$D$83</f>
        <v>1532000</v>
      </c>
      <c r="I19" s="406">
        <f>'03-APU-NUEV UNC 2014'!$D$83</f>
        <v>1532000</v>
      </c>
      <c r="J19" s="406">
        <f>'03-APU-NUEV UNC 2014'!$D$83</f>
        <v>1532000</v>
      </c>
      <c r="K19" s="406">
        <f>'03-APU-NUEV UNC 2014'!$D$83</f>
        <v>1532000</v>
      </c>
      <c r="L19" s="407" t="s">
        <v>345</v>
      </c>
    </row>
    <row r="20" spans="1:12" s="28" customFormat="1" ht="15.75" thickBot="1">
      <c r="A20" s="501"/>
      <c r="B20" s="502" t="s">
        <v>407</v>
      </c>
      <c r="C20" s="499">
        <f>SUM(C17:C19)*0.16</f>
        <v>320508.28185778658</v>
      </c>
      <c r="D20" s="499">
        <f t="shared" ref="D20:K20" si="2">SUM(D17:D19)*0.16</f>
        <v>352817.54551112367</v>
      </c>
      <c r="E20" s="499">
        <f t="shared" si="2"/>
        <v>615442.70026206085</v>
      </c>
      <c r="F20" s="499">
        <f t="shared" si="2"/>
        <v>961477.64921780175</v>
      </c>
      <c r="G20" s="499">
        <f t="shared" si="2"/>
        <v>1424712.2721706969</v>
      </c>
      <c r="H20" s="499">
        <f t="shared" si="2"/>
        <v>1986297.2087589072</v>
      </c>
      <c r="I20" s="499">
        <f t="shared" si="2"/>
        <v>2674909.6263982533</v>
      </c>
      <c r="J20" s="499">
        <f t="shared" si="2"/>
        <v>3476919.9050777275</v>
      </c>
      <c r="K20" s="499">
        <f t="shared" si="2"/>
        <v>4392429.9296679851</v>
      </c>
      <c r="L20" s="503"/>
    </row>
    <row r="21" spans="1:12" ht="15.75" thickBot="1">
      <c r="A21" s="412"/>
      <c r="B21" s="413" t="s">
        <v>344</v>
      </c>
      <c r="C21" s="492">
        <f>C22</f>
        <v>3253159.0608565337</v>
      </c>
      <c r="D21" s="492">
        <f t="shared" ref="D21:K21" si="3">D22</f>
        <v>3836890.8074334702</v>
      </c>
      <c r="E21" s="492">
        <f t="shared" si="3"/>
        <v>5354351.4922799291</v>
      </c>
      <c r="F21" s="492">
        <f t="shared" si="3"/>
        <v>6970712.9568290627</v>
      </c>
      <c r="G21" s="492">
        <f t="shared" si="3"/>
        <v>10329163.973237552</v>
      </c>
      <c r="H21" s="492">
        <f t="shared" si="3"/>
        <v>14400654.763502076</v>
      </c>
      <c r="I21" s="492">
        <f t="shared" si="3"/>
        <v>19393094.791387334</v>
      </c>
      <c r="J21" s="492">
        <f t="shared" si="3"/>
        <v>25207669.311813526</v>
      </c>
      <c r="K21" s="492">
        <f t="shared" si="3"/>
        <v>31845116.990092896</v>
      </c>
      <c r="L21" s="409"/>
    </row>
    <row r="22" spans="1:12" s="28" customFormat="1" ht="15.75" thickBot="1">
      <c r="A22" s="412"/>
      <c r="B22" s="413" t="s">
        <v>408</v>
      </c>
      <c r="C22" s="492">
        <f>SUM(C17:C20)*1.4</f>
        <v>3253159.0608565337</v>
      </c>
      <c r="D22" s="492">
        <f>SUM(D17:D20)*1.5</f>
        <v>3836890.8074334702</v>
      </c>
      <c r="E22" s="492">
        <f>SUM(E17:E20)*1.2</f>
        <v>5354351.4922799291</v>
      </c>
      <c r="F22" s="492">
        <f>SUM(F17:F20)</f>
        <v>6970712.9568290627</v>
      </c>
      <c r="G22" s="492">
        <f t="shared" ref="G22:K22" si="4">SUM(G17:G20)</f>
        <v>10329163.973237552</v>
      </c>
      <c r="H22" s="492">
        <f t="shared" si="4"/>
        <v>14400654.763502076</v>
      </c>
      <c r="I22" s="492">
        <f t="shared" si="4"/>
        <v>19393094.791387334</v>
      </c>
      <c r="J22" s="492">
        <f t="shared" si="4"/>
        <v>25207669.311813526</v>
      </c>
      <c r="K22" s="492">
        <f t="shared" si="4"/>
        <v>31845116.990092896</v>
      </c>
      <c r="L22" s="409"/>
    </row>
    <row r="23" spans="1:12" s="28" customFormat="1" ht="15.75" thickBot="1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B24" s="484" t="s">
        <v>96</v>
      </c>
      <c r="C24" s="485"/>
      <c r="D24" s="486">
        <f>J29</f>
        <v>6.54E-2</v>
      </c>
      <c r="E24" s="487" t="s">
        <v>220</v>
      </c>
      <c r="G24" t="s">
        <v>349</v>
      </c>
      <c r="J24" s="327">
        <v>2464.19</v>
      </c>
      <c r="K24" t="s">
        <v>231</v>
      </c>
    </row>
    <row r="25" spans="1:12">
      <c r="B25" s="154" t="s">
        <v>227</v>
      </c>
      <c r="C25" s="30"/>
      <c r="D25" s="89">
        <v>3849.31</v>
      </c>
      <c r="E25" s="7" t="s">
        <v>228</v>
      </c>
      <c r="G25" s="28" t="s">
        <v>350</v>
      </c>
      <c r="J25">
        <v>2028.48</v>
      </c>
      <c r="K25" s="28" t="s">
        <v>231</v>
      </c>
    </row>
    <row r="26" spans="1:12">
      <c r="B26" s="67" t="s">
        <v>225</v>
      </c>
      <c r="C26" s="30"/>
      <c r="D26" s="1">
        <v>20</v>
      </c>
      <c r="E26" s="7" t="s">
        <v>226</v>
      </c>
    </row>
    <row r="27" spans="1:12">
      <c r="B27" s="488" t="s">
        <v>22</v>
      </c>
      <c r="C27" s="30"/>
      <c r="D27" s="1">
        <v>55.42</v>
      </c>
      <c r="E27" s="7" t="s">
        <v>221</v>
      </c>
      <c r="G27" t="s">
        <v>351</v>
      </c>
      <c r="J27" s="328">
        <f>J25/J24</f>
        <v>0.82318327726352269</v>
      </c>
    </row>
    <row r="28" spans="1:12">
      <c r="B28" s="488" t="s">
        <v>21</v>
      </c>
      <c r="C28" s="30"/>
      <c r="D28" s="1">
        <v>24</v>
      </c>
      <c r="E28" s="7" t="s">
        <v>222</v>
      </c>
      <c r="G28" t="s">
        <v>352</v>
      </c>
      <c r="J28">
        <v>4.8599999999999997E-2</v>
      </c>
      <c r="K28" t="s">
        <v>353</v>
      </c>
    </row>
    <row r="29" spans="1:12">
      <c r="B29" s="154" t="s">
        <v>364</v>
      </c>
      <c r="C29" s="30"/>
      <c r="D29" s="89">
        <v>2028.48</v>
      </c>
      <c r="E29" s="7" t="s">
        <v>229</v>
      </c>
      <c r="G29" t="s">
        <v>354</v>
      </c>
      <c r="J29" s="329">
        <v>6.54E-2</v>
      </c>
      <c r="K29" s="28" t="s">
        <v>353</v>
      </c>
    </row>
    <row r="30" spans="1:12" s="28" customFormat="1" ht="15.75" thickBot="1">
      <c r="B30" s="489" t="s">
        <v>20</v>
      </c>
      <c r="C30" s="490"/>
      <c r="D30" s="8">
        <v>800</v>
      </c>
      <c r="E30" s="385" t="s">
        <v>223</v>
      </c>
    </row>
    <row r="31" spans="1:12" ht="15.75" thickBot="1"/>
    <row r="32" spans="1:12" ht="21" customHeight="1" thickBot="1">
      <c r="B32" s="861" t="s">
        <v>224</v>
      </c>
      <c r="C32" s="862"/>
      <c r="D32" s="862"/>
      <c r="E32" s="863"/>
    </row>
    <row r="33" spans="2:10" ht="30.75" thickBot="1">
      <c r="B33" s="86" t="s">
        <v>16</v>
      </c>
      <c r="C33" s="87" t="s">
        <v>19</v>
      </c>
      <c r="D33" s="87" t="s">
        <v>18</v>
      </c>
      <c r="E33" s="88" t="s">
        <v>17</v>
      </c>
    </row>
    <row r="34" spans="2:10">
      <c r="B34" s="81" t="s">
        <v>3</v>
      </c>
      <c r="C34" s="82">
        <v>1002.1</v>
      </c>
      <c r="D34" s="83">
        <f t="shared" ref="D34:D42" si="5">C34*$D$24</f>
        <v>65.53734</v>
      </c>
      <c r="E34" s="84">
        <f t="shared" ref="E34:E42" si="6">D34*$D$28</f>
        <v>1572.89616</v>
      </c>
    </row>
    <row r="35" spans="2:10">
      <c r="B35" s="25" t="s">
        <v>4</v>
      </c>
      <c r="C35" s="21">
        <v>1781.6</v>
      </c>
      <c r="D35" s="80">
        <f t="shared" si="5"/>
        <v>116.51664</v>
      </c>
      <c r="E35" s="85">
        <f t="shared" si="6"/>
        <v>2796.3993599999999</v>
      </c>
      <c r="G35" s="119"/>
      <c r="H35" s="120"/>
      <c r="J35" s="97"/>
    </row>
    <row r="36" spans="2:10">
      <c r="B36" s="25" t="s">
        <v>5</v>
      </c>
      <c r="C36" s="21">
        <v>2783.7</v>
      </c>
      <c r="D36" s="80">
        <f t="shared" si="5"/>
        <v>182.05398</v>
      </c>
      <c r="E36" s="85">
        <f t="shared" si="6"/>
        <v>4369.2955199999997</v>
      </c>
    </row>
    <row r="37" spans="2:10">
      <c r="B37" s="25" t="s">
        <v>6</v>
      </c>
      <c r="C37" s="21">
        <v>4008.6</v>
      </c>
      <c r="D37" s="80">
        <f t="shared" si="5"/>
        <v>262.16244</v>
      </c>
      <c r="E37" s="85">
        <f t="shared" si="6"/>
        <v>6291.8985599999996</v>
      </c>
      <c r="G37" s="326"/>
    </row>
    <row r="38" spans="2:10">
      <c r="B38" s="25" t="s">
        <v>7</v>
      </c>
      <c r="C38" s="21">
        <v>5456.1</v>
      </c>
      <c r="D38" s="80">
        <f t="shared" si="5"/>
        <v>356.82894000000005</v>
      </c>
      <c r="E38" s="85">
        <f t="shared" si="6"/>
        <v>8563.8945600000006</v>
      </c>
    </row>
    <row r="39" spans="2:10">
      <c r="B39" s="25" t="s">
        <v>8</v>
      </c>
      <c r="C39" s="21">
        <v>7126.4</v>
      </c>
      <c r="D39" s="80">
        <f t="shared" si="5"/>
        <v>466.06655999999998</v>
      </c>
      <c r="E39" s="85">
        <f t="shared" si="6"/>
        <v>11185.59744</v>
      </c>
    </row>
    <row r="40" spans="2:10">
      <c r="B40" s="25" t="s">
        <v>168</v>
      </c>
      <c r="C40" s="21">
        <v>9019.2999999999993</v>
      </c>
      <c r="D40" s="80">
        <f t="shared" si="5"/>
        <v>589.86221999999998</v>
      </c>
      <c r="E40" s="85">
        <f t="shared" si="6"/>
        <v>14156.69328</v>
      </c>
    </row>
    <row r="41" spans="2:10">
      <c r="B41" s="25" t="s">
        <v>169</v>
      </c>
      <c r="C41" s="21">
        <v>11135</v>
      </c>
      <c r="D41" s="80">
        <f t="shared" si="5"/>
        <v>728.22900000000004</v>
      </c>
      <c r="E41" s="85">
        <f t="shared" si="6"/>
        <v>17477.495999999999</v>
      </c>
    </row>
    <row r="42" spans="2:10" ht="15.75" thickBot="1">
      <c r="B42" s="22" t="s">
        <v>170</v>
      </c>
      <c r="C42" s="23">
        <v>13473.3</v>
      </c>
      <c r="D42" s="78">
        <f t="shared" si="5"/>
        <v>881.15382</v>
      </c>
      <c r="E42" s="79">
        <f t="shared" si="6"/>
        <v>21147.69168</v>
      </c>
    </row>
    <row r="43" spans="2:10">
      <c r="B43" s="2"/>
      <c r="C43" s="3"/>
      <c r="D43" s="3"/>
      <c r="E43" s="3"/>
    </row>
    <row r="44" spans="2:10">
      <c r="B44" s="20" t="s">
        <v>24</v>
      </c>
      <c r="C44" s="20"/>
      <c r="D44" s="20"/>
      <c r="E44" s="20"/>
    </row>
    <row r="45" spans="2:10">
      <c r="B45" s="28"/>
      <c r="C45" s="28"/>
      <c r="D45" s="28"/>
      <c r="E45" s="28"/>
      <c r="G45" s="97"/>
    </row>
    <row r="46" spans="2:10">
      <c r="B46" s="90" t="s">
        <v>23</v>
      </c>
      <c r="C46" s="30"/>
      <c r="D46" s="483">
        <v>0.56000000000000005</v>
      </c>
      <c r="E46" s="1" t="s">
        <v>220</v>
      </c>
      <c r="G46" s="97"/>
    </row>
    <row r="47" spans="2:10">
      <c r="B47" s="90" t="s">
        <v>232</v>
      </c>
      <c r="C47" s="30"/>
      <c r="D47" s="89">
        <v>1145.6600000000001</v>
      </c>
      <c r="E47" s="1" t="s">
        <v>228</v>
      </c>
    </row>
    <row r="48" spans="2:10">
      <c r="B48" s="29" t="s">
        <v>26</v>
      </c>
      <c r="C48" s="30"/>
      <c r="D48" s="1">
        <v>19.71</v>
      </c>
      <c r="E48" s="1" t="s">
        <v>221</v>
      </c>
    </row>
    <row r="49" spans="2:7">
      <c r="B49" s="29" t="s">
        <v>27</v>
      </c>
      <c r="C49" s="30"/>
      <c r="D49" s="1">
        <v>8</v>
      </c>
      <c r="E49" s="1" t="s">
        <v>222</v>
      </c>
      <c r="G49" s="97"/>
    </row>
    <row r="50" spans="2:7" s="28" customFormat="1">
      <c r="B50" s="90" t="s">
        <v>364</v>
      </c>
      <c r="C50" s="30"/>
      <c r="D50" s="89">
        <v>2028.48</v>
      </c>
      <c r="E50" s="1" t="s">
        <v>231</v>
      </c>
    </row>
    <row r="51" spans="2:7" ht="21.75" customHeight="1">
      <c r="B51" s="29" t="s">
        <v>28</v>
      </c>
      <c r="C51" s="30"/>
      <c r="D51" s="1">
        <v>275</v>
      </c>
      <c r="E51" s="1" t="s">
        <v>223</v>
      </c>
    </row>
    <row r="52" spans="2:7" ht="15.75" thickBot="1">
      <c r="B52" s="2"/>
      <c r="C52" s="2"/>
      <c r="D52" s="2"/>
      <c r="E52" s="2"/>
    </row>
    <row r="53" spans="2:7" ht="15.75" thickBot="1">
      <c r="B53" s="94" t="s">
        <v>25</v>
      </c>
      <c r="C53" s="95"/>
      <c r="D53" s="95"/>
      <c r="E53" s="96"/>
    </row>
    <row r="54" spans="2:7" ht="30.75" thickBot="1">
      <c r="B54" s="86" t="s">
        <v>16</v>
      </c>
      <c r="C54" s="87" t="s">
        <v>19</v>
      </c>
      <c r="D54" s="87" t="s">
        <v>29</v>
      </c>
      <c r="E54" s="88" t="s">
        <v>230</v>
      </c>
    </row>
    <row r="55" spans="2:7">
      <c r="B55" s="92" t="s">
        <v>2</v>
      </c>
      <c r="C55" s="82">
        <v>158.4</v>
      </c>
      <c r="D55" s="93">
        <f>C55*$D$46</f>
        <v>88.704000000000008</v>
      </c>
      <c r="E55" s="55">
        <f t="shared" ref="E55:E61" si="7">D55*$D$49</f>
        <v>709.63200000000006</v>
      </c>
    </row>
    <row r="56" spans="2:7">
      <c r="B56" s="25" t="s">
        <v>3</v>
      </c>
      <c r="C56" s="21">
        <v>368.4</v>
      </c>
      <c r="D56" s="91">
        <f t="shared" ref="D56:D61" si="8">C56*$D$46</f>
        <v>206.304</v>
      </c>
      <c r="E56" s="56">
        <f t="shared" si="7"/>
        <v>1650.432</v>
      </c>
    </row>
    <row r="57" spans="2:7">
      <c r="B57" s="25" t="s">
        <v>4</v>
      </c>
      <c r="C57" s="21">
        <v>633.5</v>
      </c>
      <c r="D57" s="91">
        <f t="shared" si="8"/>
        <v>354.76000000000005</v>
      </c>
      <c r="E57" s="56">
        <f t="shared" si="7"/>
        <v>2838.0800000000004</v>
      </c>
    </row>
    <row r="58" spans="2:7">
      <c r="B58" s="25" t="s">
        <v>5</v>
      </c>
      <c r="C58" s="21">
        <v>989.9</v>
      </c>
      <c r="D58" s="91">
        <f t="shared" si="8"/>
        <v>554.34400000000005</v>
      </c>
      <c r="E58" s="56">
        <f t="shared" si="7"/>
        <v>4434.7520000000004</v>
      </c>
    </row>
    <row r="59" spans="2:7">
      <c r="B59" s="25" t="s">
        <v>6</v>
      </c>
      <c r="C59" s="21">
        <v>1425.4</v>
      </c>
      <c r="D59" s="91">
        <f t="shared" si="8"/>
        <v>798.22400000000016</v>
      </c>
      <c r="E59" s="56">
        <f t="shared" si="7"/>
        <v>6385.7920000000013</v>
      </c>
    </row>
    <row r="60" spans="2:7">
      <c r="B60" s="25" t="s">
        <v>7</v>
      </c>
      <c r="C60" s="21">
        <v>1940.2</v>
      </c>
      <c r="D60" s="91">
        <f t="shared" si="8"/>
        <v>1086.5120000000002</v>
      </c>
      <c r="E60" s="56">
        <f t="shared" si="7"/>
        <v>8692.0960000000014</v>
      </c>
    </row>
    <row r="61" spans="2:7" ht="15.75" thickBot="1">
      <c r="B61" s="98" t="s">
        <v>8</v>
      </c>
      <c r="C61" s="99">
        <v>2534.1</v>
      </c>
      <c r="D61" s="100">
        <f t="shared" si="8"/>
        <v>1419.096</v>
      </c>
      <c r="E61" s="101">
        <f t="shared" si="7"/>
        <v>11352.768</v>
      </c>
    </row>
    <row r="62" spans="2:7" ht="15.75" thickTop="1">
      <c r="B62" s="20"/>
      <c r="C62" s="20"/>
      <c r="D62" s="20"/>
      <c r="E62" s="20"/>
    </row>
    <row r="63" spans="2:7">
      <c r="B63" s="20" t="s">
        <v>30</v>
      </c>
      <c r="C63" s="20"/>
      <c r="D63" s="20"/>
      <c r="E63" s="20"/>
    </row>
  </sheetData>
  <mergeCells count="9">
    <mergeCell ref="B32:E32"/>
    <mergeCell ref="C1:K2"/>
    <mergeCell ref="C3:K3"/>
    <mergeCell ref="A6:B6"/>
    <mergeCell ref="A8:B8"/>
    <mergeCell ref="A7:B7"/>
    <mergeCell ref="A4:L5"/>
    <mergeCell ref="A1:B3"/>
    <mergeCell ref="C7:L7"/>
  </mergeCells>
  <pageMargins left="0.7" right="0.7" top="0.75" bottom="0.75" header="0.3" footer="0.3"/>
  <pageSetup orientation="landscape" r:id="rId1"/>
  <ignoredErrors>
    <ignoredError sqref="K18 F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K86"/>
  <sheetViews>
    <sheetView zoomScale="75" zoomScaleNormal="75" workbookViewId="0">
      <pane ySplit="7" topLeftCell="A8" activePane="bottomLeft" state="frozen"/>
      <selection pane="bottomLeft" activeCell="C1" sqref="C1:I5"/>
    </sheetView>
  </sheetViews>
  <sheetFormatPr baseColWidth="10" defaultRowHeight="15"/>
  <cols>
    <col min="1" max="1" width="28.85546875" customWidth="1"/>
    <col min="2" max="2" width="26" customWidth="1"/>
    <col min="3" max="8" width="18.7109375" customWidth="1"/>
    <col min="9" max="11" width="18.7109375" style="28" customWidth="1"/>
  </cols>
  <sheetData>
    <row r="1" spans="1:11" ht="21" customHeight="1">
      <c r="A1" s="905" t="s">
        <v>97</v>
      </c>
      <c r="B1" s="906"/>
      <c r="C1" s="893" t="s">
        <v>409</v>
      </c>
      <c r="D1" s="894"/>
      <c r="E1" s="894"/>
      <c r="F1" s="894"/>
      <c r="G1" s="894"/>
      <c r="H1" s="894"/>
      <c r="I1" s="894"/>
      <c r="J1" s="899" t="s">
        <v>423</v>
      </c>
      <c r="K1" s="900"/>
    </row>
    <row r="2" spans="1:11" ht="24" customHeight="1">
      <c r="A2" s="907"/>
      <c r="B2" s="908"/>
      <c r="C2" s="895"/>
      <c r="D2" s="896"/>
      <c r="E2" s="896"/>
      <c r="F2" s="896"/>
      <c r="G2" s="896"/>
      <c r="H2" s="896"/>
      <c r="I2" s="896"/>
      <c r="J2" s="897" t="s">
        <v>95</v>
      </c>
      <c r="K2" s="898"/>
    </row>
    <row r="3" spans="1:11" ht="24" customHeight="1">
      <c r="A3" s="907"/>
      <c r="B3" s="908"/>
      <c r="C3" s="895"/>
      <c r="D3" s="896"/>
      <c r="E3" s="896"/>
      <c r="F3" s="896"/>
      <c r="G3" s="896"/>
      <c r="H3" s="896"/>
      <c r="I3" s="896"/>
      <c r="J3" s="901" t="s">
        <v>418</v>
      </c>
      <c r="K3" s="902"/>
    </row>
    <row r="4" spans="1:11" ht="15" customHeight="1">
      <c r="A4" s="907"/>
      <c r="B4" s="908"/>
      <c r="C4" s="889" t="s">
        <v>410</v>
      </c>
      <c r="D4" s="890"/>
      <c r="E4" s="890"/>
      <c r="F4" s="890"/>
      <c r="G4" s="890"/>
      <c r="H4" s="890"/>
      <c r="I4" s="890"/>
      <c r="J4" s="590"/>
      <c r="K4" s="591"/>
    </row>
    <row r="5" spans="1:11" ht="15" customHeight="1" thickBot="1">
      <c r="A5" s="907"/>
      <c r="B5" s="908"/>
      <c r="C5" s="891"/>
      <c r="D5" s="892"/>
      <c r="E5" s="892"/>
      <c r="F5" s="892"/>
      <c r="G5" s="892"/>
      <c r="H5" s="892"/>
      <c r="I5" s="892"/>
      <c r="J5" s="592"/>
      <c r="K5" s="593"/>
    </row>
    <row r="6" spans="1:11" ht="27.75" customHeight="1" thickBot="1">
      <c r="A6" s="903" t="s">
        <v>417</v>
      </c>
      <c r="B6" s="904"/>
      <c r="C6" s="909"/>
      <c r="D6" s="910"/>
      <c r="E6" s="910"/>
      <c r="F6" s="910"/>
      <c r="G6" s="910"/>
      <c r="H6" s="910"/>
      <c r="I6" s="910"/>
      <c r="J6" s="545"/>
      <c r="K6" s="546"/>
    </row>
    <row r="7" spans="1:11">
      <c r="A7" s="934" t="s">
        <v>62</v>
      </c>
      <c r="B7" s="935"/>
      <c r="C7" s="514" t="s">
        <v>0</v>
      </c>
      <c r="D7" s="514" t="s">
        <v>1</v>
      </c>
      <c r="E7" s="514" t="s">
        <v>2</v>
      </c>
      <c r="F7" s="513" t="s">
        <v>3</v>
      </c>
      <c r="G7" s="514" t="s">
        <v>4</v>
      </c>
      <c r="H7" s="514" t="s">
        <v>5</v>
      </c>
      <c r="I7" s="514" t="s">
        <v>6</v>
      </c>
      <c r="J7" s="514" t="s">
        <v>7</v>
      </c>
      <c r="K7" s="521" t="s">
        <v>8</v>
      </c>
    </row>
    <row r="8" spans="1:11">
      <c r="A8" s="915"/>
      <c r="B8" s="916"/>
      <c r="C8" s="66"/>
      <c r="D8" s="66"/>
      <c r="E8" s="66"/>
      <c r="F8" s="1"/>
      <c r="G8" s="1"/>
      <c r="H8" s="1"/>
      <c r="I8" s="1"/>
      <c r="J8" s="1"/>
      <c r="K8" s="7"/>
    </row>
    <row r="9" spans="1:11">
      <c r="A9" s="522" t="s">
        <v>32</v>
      </c>
      <c r="B9" s="106"/>
      <c r="C9" s="66"/>
      <c r="D9" s="66"/>
      <c r="E9" s="66"/>
      <c r="F9" s="1"/>
      <c r="G9" s="1"/>
      <c r="H9" s="1"/>
      <c r="I9" s="1"/>
      <c r="J9" s="1"/>
      <c r="K9" s="7"/>
    </row>
    <row r="10" spans="1:11">
      <c r="A10" s="911"/>
      <c r="B10" s="912"/>
      <c r="C10" s="66"/>
      <c r="D10" s="66"/>
      <c r="E10" s="66"/>
      <c r="F10" s="1"/>
      <c r="G10" s="1"/>
      <c r="H10" s="1"/>
      <c r="I10" s="1"/>
      <c r="J10" s="1"/>
      <c r="K10" s="7"/>
    </row>
    <row r="11" spans="1:11">
      <c r="A11" s="922" t="s">
        <v>33</v>
      </c>
      <c r="B11" s="923"/>
      <c r="C11" s="66"/>
      <c r="D11" s="66"/>
      <c r="E11" s="66"/>
      <c r="F11" s="1"/>
      <c r="G11" s="1"/>
      <c r="H11" s="1"/>
      <c r="I11" s="1"/>
      <c r="J11" s="1"/>
      <c r="K11" s="7"/>
    </row>
    <row r="12" spans="1:11">
      <c r="A12" s="921"/>
      <c r="B12" s="657"/>
      <c r="C12" s="66"/>
      <c r="D12" s="66"/>
      <c r="E12" s="66"/>
      <c r="F12" s="1"/>
      <c r="G12" s="1"/>
      <c r="H12" s="1"/>
      <c r="I12" s="1"/>
      <c r="J12" s="1"/>
      <c r="K12" s="7"/>
    </row>
    <row r="13" spans="1:11">
      <c r="A13" s="922" t="s">
        <v>34</v>
      </c>
      <c r="B13" s="923"/>
      <c r="C13" s="66"/>
      <c r="D13" s="66"/>
      <c r="E13" s="66"/>
      <c r="F13" s="1"/>
      <c r="G13" s="1"/>
      <c r="H13" s="1"/>
      <c r="I13" s="1"/>
      <c r="J13" s="1"/>
      <c r="K13" s="7"/>
    </row>
    <row r="14" spans="1:11">
      <c r="A14" s="921" t="s">
        <v>35</v>
      </c>
      <c r="B14" s="657"/>
      <c r="C14" s="57">
        <f>'03-APU-NUEV UNC 2014'!D114</f>
        <v>302073.86135050002</v>
      </c>
      <c r="D14" s="57">
        <f>'03-APU-NUEV UNC 2014'!E114</f>
        <v>302073.86135050002</v>
      </c>
      <c r="E14" s="57">
        <f>'03-APU-NUEV UNC 2014'!F114</f>
        <v>302073.86135050002</v>
      </c>
      <c r="F14" s="35">
        <f>'03-APU-NUEV UNC 2014'!G114</f>
        <v>302073.86135050002</v>
      </c>
      <c r="G14" s="35">
        <f>'03-APU-NUEV UNC 2014'!H114</f>
        <v>302073.86135050002</v>
      </c>
      <c r="H14" s="35">
        <f>'03-APU-NUEV UNC 2014'!I114</f>
        <v>302073.86135050002</v>
      </c>
      <c r="I14" s="35">
        <f>'03-APU-NUEV UNC 2014'!J114</f>
        <v>302073.86135050002</v>
      </c>
      <c r="J14" s="35">
        <f>'03-APU-NUEV UNC 2014'!K114</f>
        <v>302073.86135050002</v>
      </c>
      <c r="K14" s="345">
        <f>'03-APU-NUEV UNC 2014'!L114</f>
        <v>302073.86135050002</v>
      </c>
    </row>
    <row r="15" spans="1:11">
      <c r="A15" s="921" t="s">
        <v>36</v>
      </c>
      <c r="B15" s="657"/>
      <c r="C15" s="57">
        <f>'03-APU-NUEV UNC 2014'!D129</f>
        <v>265686.27339793002</v>
      </c>
      <c r="D15" s="57">
        <f>'03-APU-NUEV UNC 2014'!E129</f>
        <v>265686.27339793002</v>
      </c>
      <c r="E15" s="57">
        <f>'03-APU-NUEV UNC 2014'!F129</f>
        <v>265686.27339793002</v>
      </c>
      <c r="F15" s="35">
        <f>'03-APU-NUEV UNC 2014'!G129</f>
        <v>265686.27339793002</v>
      </c>
      <c r="G15" s="35">
        <f>'03-APU-NUEV UNC 2014'!H129</f>
        <v>265686.27339793002</v>
      </c>
      <c r="H15" s="35">
        <f>'03-APU-NUEV UNC 2014'!I129</f>
        <v>265686.27339793002</v>
      </c>
      <c r="I15" s="35">
        <f>'03-APU-NUEV UNC 2014'!J129</f>
        <v>265686.27339793002</v>
      </c>
      <c r="J15" s="35">
        <f>'03-APU-NUEV UNC 2014'!K129</f>
        <v>265686.27339793002</v>
      </c>
      <c r="K15" s="345">
        <f>'03-APU-NUEV UNC 2014'!L129</f>
        <v>265686.27339793002</v>
      </c>
    </row>
    <row r="16" spans="1:11">
      <c r="A16" s="911"/>
      <c r="B16" s="912"/>
      <c r="C16" s="66"/>
      <c r="D16" s="66"/>
      <c r="E16" s="66"/>
      <c r="F16" s="1"/>
      <c r="G16" s="1"/>
      <c r="H16" s="1"/>
      <c r="I16" s="1"/>
      <c r="J16" s="1"/>
      <c r="K16" s="7"/>
    </row>
    <row r="17" spans="1:11">
      <c r="A17" s="922" t="s">
        <v>63</v>
      </c>
      <c r="B17" s="923"/>
      <c r="C17" s="66"/>
      <c r="D17" s="66"/>
      <c r="E17" s="66"/>
      <c r="F17" s="1"/>
      <c r="G17" s="1"/>
      <c r="H17" s="1"/>
      <c r="I17" s="1"/>
      <c r="J17" s="1"/>
      <c r="K17" s="7"/>
    </row>
    <row r="18" spans="1:11">
      <c r="A18" s="921" t="s">
        <v>37</v>
      </c>
      <c r="B18" s="657"/>
      <c r="C18" s="57">
        <f>'03-APU-NUEV UNC 2014'!D144</f>
        <v>474603.17987826344</v>
      </c>
      <c r="D18" s="57">
        <f>'03-APU-NUEV UNC 2014'!E144</f>
        <v>474603.17987826344</v>
      </c>
      <c r="E18" s="57">
        <f>'03-APU-NUEV UNC 2014'!F144</f>
        <v>474603.17987826344</v>
      </c>
      <c r="F18" s="35">
        <f>'03-APU-NUEV UNC 2014'!D144</f>
        <v>474603.17987826344</v>
      </c>
      <c r="G18" s="35">
        <f>'03-APU-NUEV UNC 2014'!H144</f>
        <v>474603.17987826344</v>
      </c>
      <c r="H18" s="35">
        <f>'03-APU-NUEV UNC 2014'!I144</f>
        <v>474603.17987826344</v>
      </c>
      <c r="I18" s="35">
        <f>'03-APU-NUEV UNC 2014'!J144</f>
        <v>474603.17987826344</v>
      </c>
      <c r="J18" s="35">
        <f>'03-APU-NUEV UNC 2014'!K144</f>
        <v>474603.17987826344</v>
      </c>
      <c r="K18" s="345">
        <f>'03-APU-NUEV UNC 2014'!L144</f>
        <v>474603.17987826344</v>
      </c>
    </row>
    <row r="19" spans="1:11">
      <c r="A19" s="921" t="s">
        <v>64</v>
      </c>
      <c r="B19" s="657"/>
      <c r="C19" s="57">
        <f>'03-APU-NUEV UNC 2014'!D160</f>
        <v>740289.45327619347</v>
      </c>
      <c r="D19" s="57">
        <f>'03-APU-NUEV UNC 2014'!E160</f>
        <v>740289.45327619347</v>
      </c>
      <c r="E19" s="57">
        <f>'03-APU-NUEV UNC 2014'!F160</f>
        <v>740289.45327619347</v>
      </c>
      <c r="F19" s="35">
        <f>'03-APU-NUEV UNC 2014'!G160</f>
        <v>740289.45327619347</v>
      </c>
      <c r="G19" s="35">
        <f>'03-APU-NUEV UNC 2014'!H160</f>
        <v>740289.45327619347</v>
      </c>
      <c r="H19" s="35">
        <f>'03-APU-NUEV UNC 2014'!I160</f>
        <v>740289.45327619347</v>
      </c>
      <c r="I19" s="35">
        <f>'03-APU-NUEV UNC 2014'!J160</f>
        <v>740289.45327619347</v>
      </c>
      <c r="J19" s="35">
        <f>'03-APU-NUEV UNC 2014'!K160</f>
        <v>740289.45327619347</v>
      </c>
      <c r="K19" s="345">
        <f>'03-APU-NUEV UNC 2014'!L160</f>
        <v>740289.45327619347</v>
      </c>
    </row>
    <row r="20" spans="1:11">
      <c r="A20" s="921" t="s">
        <v>38</v>
      </c>
      <c r="B20" s="657"/>
      <c r="C20" s="57">
        <f>'03-APU-NUEV UNC 2014'!D176</f>
        <v>596995.36707874015</v>
      </c>
      <c r="D20" s="57">
        <f>'03-APU-NUEV UNC 2014'!E176</f>
        <v>596995.36707874015</v>
      </c>
      <c r="E20" s="57">
        <f>'03-APU-NUEV UNC 2014'!F176</f>
        <v>596995.36707874015</v>
      </c>
      <c r="F20" s="35">
        <f>'03-APU-NUEV UNC 2014'!G176</f>
        <v>596995.36707874015</v>
      </c>
      <c r="G20" s="35">
        <f>'03-APU-NUEV UNC 2014'!H176</f>
        <v>596995.36707874015</v>
      </c>
      <c r="H20" s="35">
        <f>'03-APU-NUEV UNC 2014'!I176</f>
        <v>596995.36707874015</v>
      </c>
      <c r="I20" s="35">
        <f>'03-APU-NUEV UNC 2014'!J176</f>
        <v>596995.36707874015</v>
      </c>
      <c r="J20" s="35">
        <f>'03-APU-NUEV UNC 2014'!K176</f>
        <v>596995.36707874015</v>
      </c>
      <c r="K20" s="345">
        <f>'03-APU-NUEV UNC 2014'!L176</f>
        <v>596995.36707874015</v>
      </c>
    </row>
    <row r="21" spans="1:11">
      <c r="A21" s="921"/>
      <c r="B21" s="657"/>
      <c r="C21" s="57"/>
      <c r="D21" s="57"/>
      <c r="E21" s="57"/>
      <c r="F21" s="1"/>
      <c r="G21" s="1"/>
      <c r="H21" s="1"/>
      <c r="I21" s="1"/>
      <c r="J21" s="1"/>
      <c r="K21" s="7"/>
    </row>
    <row r="22" spans="1:11">
      <c r="A22" s="922" t="s">
        <v>270</v>
      </c>
      <c r="B22" s="923"/>
      <c r="C22" s="57">
        <f>'03-APU-NUEV UNC 2014'!D212</f>
        <v>387280</v>
      </c>
      <c r="D22" s="57">
        <f>'03-APU-NUEV UNC 2014'!E212</f>
        <v>387280</v>
      </c>
      <c r="E22" s="57">
        <f>'03-APU-NUEV UNC 2014'!F212</f>
        <v>387280</v>
      </c>
      <c r="F22" s="57">
        <f>'02-HH-2014'!$G$51*9.5*4</f>
        <v>2081619.3878984498</v>
      </c>
      <c r="G22" s="57">
        <f>'02-HH-2014'!$G$51*9.5*4</f>
        <v>2081619.3878984498</v>
      </c>
      <c r="H22" s="57">
        <f>'02-HH-2014'!$G$51*9.5*4</f>
        <v>2081619.3878984498</v>
      </c>
      <c r="I22" s="35">
        <f>'02-HH-2014'!$G$51*9.5*4</f>
        <v>2081619.3878984498</v>
      </c>
      <c r="J22" s="35">
        <f>'02-HH-2014'!$G$51*9.5*4</f>
        <v>2081619.3878984498</v>
      </c>
      <c r="K22" s="345">
        <f>'02-HH-2014'!$G$51*9.5*4</f>
        <v>2081619.3878984498</v>
      </c>
    </row>
    <row r="23" spans="1:11">
      <c r="A23" s="921"/>
      <c r="B23" s="657"/>
      <c r="C23" s="57"/>
      <c r="D23" s="57"/>
      <c r="E23" s="57"/>
      <c r="F23" s="32"/>
      <c r="G23" s="1"/>
      <c r="H23" s="1"/>
      <c r="I23" s="1"/>
      <c r="J23" s="1"/>
      <c r="K23" s="7"/>
    </row>
    <row r="24" spans="1:11">
      <c r="A24" s="922" t="s">
        <v>404</v>
      </c>
      <c r="B24" s="923"/>
      <c r="C24" s="57">
        <f>'03-APU-NUEV UNC 2014'!D66</f>
        <v>70000</v>
      </c>
      <c r="D24" s="57">
        <f>'03-APU-NUEV UNC 2014'!E66</f>
        <v>70000</v>
      </c>
      <c r="E24" s="57">
        <f>'03-APU-NUEV UNC 2014'!F66</f>
        <v>70000</v>
      </c>
      <c r="F24" s="57">
        <f>'03-APU-NUEV UNC 2014'!G66</f>
        <v>70000</v>
      </c>
      <c r="G24" s="57">
        <f>'03-APU-NUEV UNC 2014'!H66</f>
        <v>70000</v>
      </c>
      <c r="H24" s="57">
        <f>'03-APU-NUEV UNC 2014'!I66</f>
        <v>70000</v>
      </c>
      <c r="I24" s="57">
        <f>'03-APU-NUEV UNC 2014'!J66</f>
        <v>70000</v>
      </c>
      <c r="J24" s="57">
        <f>'03-APU-NUEV UNC 2014'!K66</f>
        <v>70000</v>
      </c>
      <c r="K24" s="57">
        <f>'03-APU-NUEV UNC 2014'!L66</f>
        <v>70000</v>
      </c>
    </row>
    <row r="25" spans="1:11">
      <c r="A25" s="917"/>
      <c r="B25" s="918"/>
      <c r="C25" s="66"/>
      <c r="D25" s="66"/>
      <c r="E25" s="66"/>
      <c r="F25" s="1"/>
      <c r="G25" s="1"/>
      <c r="H25" s="1"/>
      <c r="I25" s="1"/>
      <c r="J25" s="1"/>
      <c r="K25" s="7"/>
    </row>
    <row r="26" spans="1:11">
      <c r="A26" s="913" t="s">
        <v>12</v>
      </c>
      <c r="B26" s="914"/>
      <c r="C26" s="121">
        <f t="shared" ref="C26:E26" si="0">SUM(C8:C25)</f>
        <v>2836928.1349816271</v>
      </c>
      <c r="D26" s="121">
        <f t="shared" si="0"/>
        <v>2836928.1349816271</v>
      </c>
      <c r="E26" s="121">
        <f t="shared" si="0"/>
        <v>2836928.1349816271</v>
      </c>
      <c r="F26" s="121">
        <f t="shared" ref="F26:H26" si="1">SUM(F8:F25)</f>
        <v>4531267.5228800774</v>
      </c>
      <c r="G26" s="121">
        <f t="shared" si="1"/>
        <v>4531267.5228800774</v>
      </c>
      <c r="H26" s="121">
        <f t="shared" si="1"/>
        <v>4531267.5228800774</v>
      </c>
      <c r="I26" s="121">
        <f>SUM(I14:I15,I18:I20,I22,I24)</f>
        <v>4531267.5228800774</v>
      </c>
      <c r="J26" s="121">
        <f>SUM(J14:J15,J18:J20,J22,J24)</f>
        <v>4531267.5228800774</v>
      </c>
      <c r="K26" s="523">
        <f>SUM(K14:K15,K18:K20,K22,K24)</f>
        <v>4531267.5228800774</v>
      </c>
    </row>
    <row r="27" spans="1:11">
      <c r="A27" s="915"/>
      <c r="B27" s="916"/>
      <c r="C27" s="1"/>
      <c r="D27" s="1"/>
      <c r="E27" s="1"/>
      <c r="F27" s="1"/>
      <c r="G27" s="1"/>
      <c r="H27" s="1"/>
      <c r="I27" s="2"/>
      <c r="J27" s="2"/>
      <c r="K27" s="34"/>
    </row>
    <row r="28" spans="1:11">
      <c r="A28" s="936" t="s">
        <v>44</v>
      </c>
      <c r="B28" s="937"/>
      <c r="C28" s="2"/>
      <c r="D28" s="1"/>
      <c r="E28" s="1"/>
      <c r="F28" s="1"/>
      <c r="G28" s="1"/>
      <c r="H28" s="1"/>
      <c r="I28" s="1"/>
      <c r="J28" s="1"/>
      <c r="K28" s="7"/>
    </row>
    <row r="29" spans="1:11">
      <c r="A29" s="919" t="s">
        <v>65</v>
      </c>
      <c r="B29" s="920"/>
      <c r="C29" s="35">
        <v>12500</v>
      </c>
      <c r="D29" s="35">
        <v>12500</v>
      </c>
      <c r="E29" s="35">
        <v>12500</v>
      </c>
      <c r="F29" s="35">
        <v>12500</v>
      </c>
      <c r="G29" s="35">
        <v>12500</v>
      </c>
      <c r="H29" s="35">
        <v>12500</v>
      </c>
      <c r="I29" s="35">
        <v>12500</v>
      </c>
      <c r="J29" s="35">
        <v>12500</v>
      </c>
      <c r="K29" s="345">
        <v>12500</v>
      </c>
    </row>
    <row r="30" spans="1:11">
      <c r="A30" s="919" t="s">
        <v>66</v>
      </c>
      <c r="B30" s="920"/>
      <c r="C30" s="35">
        <f>'03-APU-NUEV UNC 2014'!G227</f>
        <v>112096.10866666665</v>
      </c>
      <c r="D30" s="35">
        <f>'03-APU-NUEV UNC 2014'!H227</f>
        <v>112096.10866666665</v>
      </c>
      <c r="E30" s="35">
        <f>'03-APU-NUEV UNC 2014'!I227</f>
        <v>112096.10866666665</v>
      </c>
      <c r="F30" s="35">
        <f>'03-APU-NUEV UNC 2014'!J227</f>
        <v>112096.10866666665</v>
      </c>
      <c r="G30" s="35">
        <f>'03-APU-NUEV UNC 2014'!K227</f>
        <v>112096.10866666665</v>
      </c>
      <c r="H30" s="35">
        <f>'03-APU-NUEV UNC 2014'!L227</f>
        <v>112096.10866666665</v>
      </c>
      <c r="I30" s="35">
        <f>'03-APU-NUEV UNC 2014'!J227</f>
        <v>112096.10866666665</v>
      </c>
      <c r="J30" s="35">
        <f>'03-APU-NUEV UNC 2014'!K227</f>
        <v>112096.10866666665</v>
      </c>
      <c r="K30" s="345">
        <f>'03-APU-NUEV UNC 2014'!L227</f>
        <v>112096.10866666665</v>
      </c>
    </row>
    <row r="31" spans="1:11">
      <c r="A31" s="919" t="s">
        <v>67</v>
      </c>
      <c r="B31" s="920"/>
      <c r="C31" s="35">
        <f>'03-APU-NUEV UNC 2014'!G228</f>
        <v>643274</v>
      </c>
      <c r="D31" s="35">
        <f>'03-APU-NUEV UNC 2014'!H228</f>
        <v>643274</v>
      </c>
      <c r="E31" s="35">
        <f>'03-APU-NUEV UNC 2014'!I228</f>
        <v>964911</v>
      </c>
      <c r="F31" s="35">
        <f>'03-APU-NUEV UNC 2014'!J228</f>
        <v>1286548</v>
      </c>
      <c r="G31" s="35">
        <f>'03-APU-NUEV UNC 2014'!K228</f>
        <v>1286548</v>
      </c>
      <c r="H31" s="35">
        <f>'03-APU-NUEV UNC 2014'!L228</f>
        <v>1286548</v>
      </c>
      <c r="I31" s="35">
        <f>'03-APU-NUEV UNC 2014'!J228</f>
        <v>1286548</v>
      </c>
      <c r="J31" s="35">
        <f>'03-APU-NUEV UNC 2014'!K228</f>
        <v>1286548</v>
      </c>
      <c r="K31" s="345">
        <f>'03-APU-NUEV UNC 2014'!L228</f>
        <v>1286548</v>
      </c>
    </row>
    <row r="32" spans="1:11">
      <c r="A32" s="919" t="s">
        <v>47</v>
      </c>
      <c r="B32" s="920"/>
      <c r="C32" s="35">
        <f>'03-APU-NUEV UNC 2014'!D229</f>
        <v>188506</v>
      </c>
      <c r="D32" s="35">
        <f>'03-APU-NUEV UNC 2014'!E229</f>
        <v>188506</v>
      </c>
      <c r="E32" s="35">
        <f>'03-APU-NUEV UNC 2014'!F229</f>
        <v>188506</v>
      </c>
      <c r="F32" s="35">
        <f>'03-APU-NUEV UNC 2014'!G229</f>
        <v>408576.75876240002</v>
      </c>
      <c r="G32" s="35">
        <f>'03-APU-NUEV UNC 2014'!H229</f>
        <v>672573.48968221399</v>
      </c>
      <c r="H32" s="35">
        <f>'03-APU-NUEV UNC 2014'!L229</f>
        <v>2945788.9830931202</v>
      </c>
      <c r="I32" s="35">
        <f>'03-APU-NUEV UNC 2014'!J229</f>
        <v>2680984.9830931202</v>
      </c>
      <c r="J32" s="35">
        <f>'03-APU-NUEV UNC 2014'!K229</f>
        <v>2813386.9830931202</v>
      </c>
      <c r="K32" s="345">
        <f>'03-APU-NUEV UNC 2014'!L229</f>
        <v>2945788.9830931202</v>
      </c>
    </row>
    <row r="33" spans="1:11">
      <c r="A33" s="919" t="s">
        <v>68</v>
      </c>
      <c r="B33" s="920"/>
      <c r="C33" s="35">
        <f>'03-APU-NUEV UNC 2014'!G230</f>
        <v>322273.05143896001</v>
      </c>
      <c r="D33" s="35">
        <f>'03-APU-NUEV UNC 2014'!H230</f>
        <v>322273.05143896001</v>
      </c>
      <c r="E33" s="35">
        <f>'03-APU-NUEV UNC 2014'!I230</f>
        <v>483409.57715844002</v>
      </c>
      <c r="F33" s="35">
        <f>'03-APU-NUEV UNC 2014'!J230</f>
        <v>644546.10287792003</v>
      </c>
      <c r="G33" s="35">
        <f>'03-APU-NUEV UNC 2014'!K230</f>
        <v>644546.10287792003</v>
      </c>
      <c r="H33" s="35">
        <f>'03-APU-NUEV UNC 2014'!L230</f>
        <v>644546.10287792003</v>
      </c>
      <c r="I33" s="35">
        <f>'03-APU-NUEV UNC 2014'!J230</f>
        <v>644546.10287792003</v>
      </c>
      <c r="J33" s="35">
        <f>'03-APU-NUEV UNC 2014'!K230</f>
        <v>644546.10287792003</v>
      </c>
      <c r="K33" s="345">
        <f>'03-APU-NUEV UNC 2014'!L230</f>
        <v>644546.10287792003</v>
      </c>
    </row>
    <row r="34" spans="1:11">
      <c r="A34" s="919" t="s">
        <v>49</v>
      </c>
      <c r="B34" s="920"/>
      <c r="C34" s="35">
        <f>'03-APU-NUEV UNC 2014'!D231</f>
        <v>597786.66666666663</v>
      </c>
      <c r="D34" s="35">
        <f>'03-APU-NUEV UNC 2014'!E231</f>
        <v>597786.66666666663</v>
      </c>
      <c r="E34" s="35">
        <f>'03-APU-NUEV UNC 2014'!F231</f>
        <v>597786.66666666663</v>
      </c>
      <c r="F34" s="35">
        <f>'03-APU-NUEV UNC 2014'!G231</f>
        <v>597786.66666666663</v>
      </c>
      <c r="G34" s="35">
        <f>'03-APU-NUEV UNC 2014'!H231</f>
        <v>597786.66666666663</v>
      </c>
      <c r="H34" s="35">
        <f>'03-APU-NUEV UNC 2014'!L231</f>
        <v>523160</v>
      </c>
      <c r="I34" s="35">
        <f>'03-APU-NUEV UNC 2014'!J231</f>
        <v>407160</v>
      </c>
      <c r="J34" s="35">
        <f>'03-APU-NUEV UNC 2014'!K231</f>
        <v>465160</v>
      </c>
      <c r="K34" s="345">
        <f>'03-APU-NUEV UNC 2014'!L231</f>
        <v>523160</v>
      </c>
    </row>
    <row r="35" spans="1:11">
      <c r="A35" s="919" t="s">
        <v>50</v>
      </c>
      <c r="B35" s="920"/>
      <c r="C35" s="35">
        <f>'03-APU-NUEV UNC 2014'!G232</f>
        <v>76000</v>
      </c>
      <c r="D35" s="35">
        <f>'03-APU-NUEV UNC 2014'!H232</f>
        <v>76000</v>
      </c>
      <c r="E35" s="35">
        <f>'03-APU-NUEV UNC 2014'!I232</f>
        <v>114000</v>
      </c>
      <c r="F35" s="35">
        <f>'03-APU-NUEV UNC 2014'!J232</f>
        <v>152000</v>
      </c>
      <c r="G35" s="35">
        <f>'03-APU-NUEV UNC 2014'!K232</f>
        <v>152000</v>
      </c>
      <c r="H35" s="35">
        <f>'03-APU-NUEV UNC 2014'!L232</f>
        <v>152000</v>
      </c>
      <c r="I35" s="35">
        <f>'03-APU-NUEV UNC 2014'!J232</f>
        <v>152000</v>
      </c>
      <c r="J35" s="35">
        <f>'03-APU-NUEV UNC 2014'!K232</f>
        <v>152000</v>
      </c>
      <c r="K35" s="345">
        <f>'03-APU-NUEV UNC 2014'!L232</f>
        <v>152000</v>
      </c>
    </row>
    <row r="36" spans="1:11">
      <c r="A36" s="919" t="s">
        <v>51</v>
      </c>
      <c r="B36" s="920"/>
      <c r="C36" s="35">
        <f>'03-APU-NUEV UNC 2014'!G233</f>
        <v>257333.33333333334</v>
      </c>
      <c r="D36" s="35">
        <f>'03-APU-NUEV UNC 2014'!H233</f>
        <v>273333.33333333331</v>
      </c>
      <c r="E36" s="35">
        <f>'03-APU-NUEV UNC 2014'!I233</f>
        <v>136666.66666666666</v>
      </c>
      <c r="F36" s="35">
        <f>'03-APU-NUEV UNC 2014'!J233</f>
        <v>136666.66666666666</v>
      </c>
      <c r="G36" s="35">
        <f>'03-APU-NUEV UNC 2014'!K233</f>
        <v>136666.66666666666</v>
      </c>
      <c r="H36" s="35">
        <f>'03-APU-NUEV UNC 2014'!L233</f>
        <v>136666.66666666666</v>
      </c>
      <c r="I36" s="35">
        <f>'03-APU-NUEV UNC 2014'!J233</f>
        <v>136666.66666666666</v>
      </c>
      <c r="J36" s="35">
        <f>'03-APU-NUEV UNC 2014'!K233</f>
        <v>136666.66666666666</v>
      </c>
      <c r="K36" s="345">
        <f>'03-APU-NUEV UNC 2014'!L233</f>
        <v>136666.66666666666</v>
      </c>
    </row>
    <row r="37" spans="1:11">
      <c r="A37" s="919" t="s">
        <v>69</v>
      </c>
      <c r="B37" s="920"/>
      <c r="C37" s="35">
        <f>'03-APU-NUEV UNC 2014'!G234</f>
        <v>206118.19571865443</v>
      </c>
      <c r="D37" s="35">
        <f>'03-APU-NUEV UNC 2014'!H234</f>
        <v>206118.19571865443</v>
      </c>
      <c r="E37" s="35">
        <f>'03-APU-NUEV UNC 2014'!I234</f>
        <v>206118.19571865443</v>
      </c>
      <c r="F37" s="35">
        <f>'03-APU-NUEV UNC 2014'!J234</f>
        <v>206118.19571865443</v>
      </c>
      <c r="G37" s="35">
        <f>'03-APU-NUEV UNC 2014'!K234</f>
        <v>206118.19571865443</v>
      </c>
      <c r="H37" s="35">
        <f>'03-APU-NUEV UNC 2014'!L234</f>
        <v>206118.19571865443</v>
      </c>
      <c r="I37" s="35">
        <f>'03-APU-NUEV UNC 2014'!J234</f>
        <v>206118.19571865443</v>
      </c>
      <c r="J37" s="35">
        <f>'03-APU-NUEV UNC 2014'!K234</f>
        <v>206118.19571865443</v>
      </c>
      <c r="K37" s="345">
        <f>'03-APU-NUEV UNC 2014'!L234</f>
        <v>206118.19571865443</v>
      </c>
    </row>
    <row r="38" spans="1:11" ht="29.25" customHeight="1">
      <c r="A38" s="699" t="s">
        <v>70</v>
      </c>
      <c r="B38" s="781"/>
      <c r="C38" s="35">
        <f>'03-APU-NUEV UNC 2014'!G235</f>
        <v>322273.05143896001</v>
      </c>
      <c r="D38" s="35">
        <f>'03-APU-NUEV UNC 2014'!H235</f>
        <v>322273.05143896001</v>
      </c>
      <c r="E38" s="35">
        <f>'03-APU-NUEV UNC 2014'!I235</f>
        <v>483409.57715844002</v>
      </c>
      <c r="F38" s="35">
        <f>'03-APU-NUEV UNC 2014'!J235</f>
        <v>644546.10287792003</v>
      </c>
      <c r="G38" s="35">
        <f>'03-APU-NUEV UNC 2014'!K235</f>
        <v>644546.10287792003</v>
      </c>
      <c r="H38" s="35">
        <f>'03-APU-NUEV UNC 2014'!L235</f>
        <v>644546.10287792003</v>
      </c>
      <c r="I38" s="35">
        <f>'03-APU-NUEV UNC 2014'!J235</f>
        <v>644546.10287792003</v>
      </c>
      <c r="J38" s="35">
        <f>'03-APU-NUEV UNC 2014'!K235</f>
        <v>644546.10287792003</v>
      </c>
      <c r="K38" s="345">
        <f>'03-APU-NUEV UNC 2014'!L235</f>
        <v>644546.10287792003</v>
      </c>
    </row>
    <row r="39" spans="1:11">
      <c r="A39" s="917"/>
      <c r="B39" s="918"/>
      <c r="C39" s="1"/>
      <c r="D39" s="1"/>
      <c r="E39" s="1"/>
      <c r="F39" s="1"/>
      <c r="G39" s="1"/>
      <c r="H39" s="1"/>
      <c r="I39" s="1"/>
      <c r="J39" s="1"/>
      <c r="K39" s="7"/>
    </row>
    <row r="40" spans="1:11">
      <c r="A40" s="913" t="s">
        <v>43</v>
      </c>
      <c r="B40" s="914"/>
      <c r="C40" s="104">
        <f>SUM(C28,C29,C30,C31,C32,C33,C34,C35,C36,C37,C38)</f>
        <v>2738160.4072632408</v>
      </c>
      <c r="D40" s="104">
        <f>SUM(D28,D29,D30,D31,D32,D33,D34,D35,D36,D37,D38)</f>
        <v>2754160.4072632408</v>
      </c>
      <c r="E40" s="104">
        <f>SUM(E29:E38)</f>
        <v>3299403.792035534</v>
      </c>
      <c r="F40" s="104">
        <f t="shared" ref="F40:H40" si="2">SUM(F28,F29,F30,F31,F32,F33,F34,F35,F36,F37,F38)</f>
        <v>4201384.602236894</v>
      </c>
      <c r="G40" s="104">
        <f t="shared" si="2"/>
        <v>4465381.3331567086</v>
      </c>
      <c r="H40" s="104">
        <f t="shared" si="2"/>
        <v>6663970.1599009484</v>
      </c>
      <c r="I40" s="104">
        <f>SUM(I29:I38)</f>
        <v>6283166.1599009484</v>
      </c>
      <c r="J40" s="104">
        <f>SUM(J29:J38)</f>
        <v>6473568.1599009484</v>
      </c>
      <c r="K40" s="524">
        <f>SUM(K29:K38)</f>
        <v>6663970.1599009484</v>
      </c>
    </row>
    <row r="41" spans="1:11">
      <c r="A41" s="911"/>
      <c r="B41" s="912"/>
      <c r="C41" s="66"/>
      <c r="D41" s="66"/>
      <c r="E41" s="66"/>
      <c r="F41" s="66"/>
      <c r="G41" s="66"/>
      <c r="H41" s="66"/>
      <c r="I41" s="2"/>
      <c r="J41" s="2"/>
      <c r="K41" s="34"/>
    </row>
    <row r="42" spans="1:11">
      <c r="A42" s="922" t="s">
        <v>54</v>
      </c>
      <c r="B42" s="923"/>
      <c r="C42" s="66"/>
      <c r="D42" s="66"/>
      <c r="E42" s="66"/>
      <c r="F42" s="66"/>
      <c r="G42" s="66"/>
      <c r="H42" s="66"/>
      <c r="I42" s="66"/>
      <c r="J42" s="66"/>
      <c r="K42" s="525"/>
    </row>
    <row r="43" spans="1:11">
      <c r="A43" s="921" t="s">
        <v>71</v>
      </c>
      <c r="B43" s="657"/>
      <c r="C43" s="35">
        <f>'03-APU-NUEV UNC 2014'!D13</f>
        <v>1306350.2762524625</v>
      </c>
      <c r="D43" s="35">
        <f>'03-APU-NUEV UNC 2014'!E13</f>
        <v>1306350.2762524625</v>
      </c>
      <c r="E43" s="35">
        <f>'03-APU-NUEV UNC 2014'!F13</f>
        <v>1306350.2762524625</v>
      </c>
      <c r="F43" s="35">
        <f>'03-APU-NUEV UNC 2014'!G13</f>
        <v>1306350.2762524625</v>
      </c>
      <c r="G43" s="35">
        <f>'03-APU-NUEV UNC 2014'!H13</f>
        <v>1306350.2762524625</v>
      </c>
      <c r="H43" s="35">
        <f>'03-APU-NUEV UNC 2014'!I13</f>
        <v>1959525.414378694</v>
      </c>
      <c r="I43" s="35">
        <f>'03-APU-NUEV UNC 2014'!J13</f>
        <v>2536271.3875049255</v>
      </c>
      <c r="J43" s="35">
        <f>'03-APU-NUEV UNC 2014'!K13</f>
        <v>2536271.3875049255</v>
      </c>
      <c r="K43" s="345">
        <f>'03-APU-NUEV UNC 2014'!L13</f>
        <v>2536271.3875049255</v>
      </c>
    </row>
    <row r="44" spans="1:11">
      <c r="A44" s="911"/>
      <c r="B44" s="912"/>
      <c r="C44" s="66"/>
      <c r="D44" s="66"/>
      <c r="E44" s="66"/>
      <c r="F44" s="66"/>
      <c r="G44" s="66"/>
      <c r="H44" s="66"/>
      <c r="I44" s="66"/>
      <c r="J44" s="66"/>
      <c r="K44" s="525"/>
    </row>
    <row r="45" spans="1:11">
      <c r="A45" s="913" t="s">
        <v>12</v>
      </c>
      <c r="B45" s="914"/>
      <c r="C45" s="104">
        <f>C43</f>
        <v>1306350.2762524625</v>
      </c>
      <c r="D45" s="104">
        <f t="shared" ref="D45:H45" si="3">D43</f>
        <v>1306350.2762524625</v>
      </c>
      <c r="E45" s="104">
        <f t="shared" si="3"/>
        <v>1306350.2762524625</v>
      </c>
      <c r="F45" s="104">
        <f t="shared" si="3"/>
        <v>1306350.2762524625</v>
      </c>
      <c r="G45" s="104">
        <f t="shared" si="3"/>
        <v>1306350.2762524625</v>
      </c>
      <c r="H45" s="104">
        <f t="shared" si="3"/>
        <v>1959525.414378694</v>
      </c>
      <c r="I45" s="105">
        <f>I43</f>
        <v>2536271.3875049255</v>
      </c>
      <c r="J45" s="105">
        <f>J43</f>
        <v>2536271.3875049255</v>
      </c>
      <c r="K45" s="524">
        <f>K43</f>
        <v>2536271.3875049255</v>
      </c>
    </row>
    <row r="46" spans="1:11">
      <c r="A46" s="911"/>
      <c r="B46" s="912"/>
      <c r="C46" s="66"/>
      <c r="D46" s="66"/>
      <c r="E46" s="66"/>
      <c r="F46" s="66"/>
      <c r="G46" s="66"/>
      <c r="H46" s="66"/>
      <c r="I46" s="66"/>
      <c r="J46" s="66"/>
      <c r="K46" s="525"/>
    </row>
    <row r="47" spans="1:11">
      <c r="A47" s="922" t="s">
        <v>55</v>
      </c>
      <c r="B47" s="923"/>
      <c r="C47" s="35"/>
      <c r="D47" s="35"/>
      <c r="E47" s="35"/>
      <c r="F47" s="35"/>
      <c r="G47" s="35"/>
      <c r="H47" s="35"/>
      <c r="I47" s="35"/>
      <c r="J47" s="35"/>
      <c r="K47" s="345"/>
    </row>
    <row r="48" spans="1:11">
      <c r="A48" s="921" t="s">
        <v>56</v>
      </c>
      <c r="B48" s="657"/>
      <c r="C48" s="35">
        <f>'03-APU-NUEV UNC 2014'!G219</f>
        <v>79304.433856434829</v>
      </c>
      <c r="D48" s="35">
        <f>'03-APU-NUEV UNC 2014'!H219</f>
        <v>198261.75775074653</v>
      </c>
      <c r="E48" s="35">
        <f>'03-APU-NUEV UNC 2014'!I219</f>
        <v>198261.75775074653</v>
      </c>
      <c r="F48" s="35">
        <f>'03-APU-NUEV UNC 2014'!J219</f>
        <v>198261.75775074653</v>
      </c>
      <c r="G48" s="35">
        <f>'03-APU-NUEV UNC 2014'!K219</f>
        <v>198261.75775074653</v>
      </c>
      <c r="H48" s="35">
        <f>'03-APU-NUEV UNC 2014'!L219</f>
        <v>198261.75775074653</v>
      </c>
      <c r="I48" s="35">
        <f>'03-APU-NUEV UNC 2014'!J219</f>
        <v>198261.75775074653</v>
      </c>
      <c r="J48" s="35">
        <f>'03-APU-NUEV UNC 2014'!K219</f>
        <v>198261.75775074653</v>
      </c>
      <c r="K48" s="345">
        <f>'03-APU-NUEV UNC 2014'!L219</f>
        <v>198261.75775074653</v>
      </c>
    </row>
    <row r="49" spans="1:11">
      <c r="A49" s="911"/>
      <c r="B49" s="912"/>
      <c r="C49" s="66"/>
      <c r="D49" s="66"/>
      <c r="E49" s="66"/>
      <c r="F49" s="66"/>
      <c r="G49" s="66"/>
      <c r="H49" s="66"/>
      <c r="I49" s="66"/>
      <c r="J49" s="66"/>
      <c r="K49" s="525"/>
    </row>
    <row r="50" spans="1:11">
      <c r="A50" s="913" t="s">
        <v>43</v>
      </c>
      <c r="B50" s="914"/>
      <c r="C50" s="104">
        <f>C48</f>
        <v>79304.433856434829</v>
      </c>
      <c r="D50" s="104">
        <f t="shared" ref="D50:H50" si="4">D48</f>
        <v>198261.75775074653</v>
      </c>
      <c r="E50" s="104">
        <f t="shared" si="4"/>
        <v>198261.75775074653</v>
      </c>
      <c r="F50" s="104">
        <f t="shared" si="4"/>
        <v>198261.75775074653</v>
      </c>
      <c r="G50" s="104">
        <f t="shared" si="4"/>
        <v>198261.75775074653</v>
      </c>
      <c r="H50" s="104">
        <f t="shared" si="4"/>
        <v>198261.75775074653</v>
      </c>
      <c r="I50" s="104">
        <f>I48</f>
        <v>198261.75775074653</v>
      </c>
      <c r="J50" s="104">
        <f>J48</f>
        <v>198261.75775074653</v>
      </c>
      <c r="K50" s="526">
        <f>K48</f>
        <v>198261.75775074653</v>
      </c>
    </row>
    <row r="51" spans="1:11">
      <c r="A51" s="917"/>
      <c r="B51" s="918"/>
      <c r="C51" s="1"/>
      <c r="D51" s="1"/>
      <c r="E51" s="1"/>
      <c r="F51" s="1"/>
      <c r="G51" s="1"/>
      <c r="H51" s="1"/>
      <c r="I51" s="1"/>
      <c r="J51" s="1"/>
      <c r="K51" s="7"/>
    </row>
    <row r="52" spans="1:11">
      <c r="A52" s="922" t="s">
        <v>57</v>
      </c>
      <c r="B52" s="923"/>
      <c r="C52" s="66"/>
      <c r="D52" s="66"/>
      <c r="E52" s="66"/>
      <c r="F52" s="66"/>
      <c r="G52" s="66"/>
      <c r="H52" s="66"/>
      <c r="I52" s="66"/>
      <c r="J52" s="66"/>
      <c r="K52" s="525"/>
    </row>
    <row r="53" spans="1:11">
      <c r="A53" s="921" t="s">
        <v>60</v>
      </c>
      <c r="B53" s="657"/>
      <c r="C53" s="35">
        <f>'03-APU-NUEV UNC 2014'!D195</f>
        <v>3552000</v>
      </c>
      <c r="D53" s="35">
        <f>'03-APU-NUEV UNC 2014'!E195</f>
        <v>5142000</v>
      </c>
      <c r="E53" s="35">
        <f>'03-APU-NUEV UNC 2014'!F195</f>
        <v>5515788.6999999993</v>
      </c>
      <c r="F53" s="35">
        <f>'03-APU-NUEV UNC 2014'!G195</f>
        <v>7036386</v>
      </c>
      <c r="G53" s="35">
        <f>'03-APU-NUEV UNC 2014'!H195</f>
        <v>9381000</v>
      </c>
      <c r="H53" s="35">
        <f>'03-APU-NUEV UNC 2014'!I195</f>
        <v>13590000</v>
      </c>
      <c r="I53" s="35">
        <f>'03-APU-NUEV UNC 2014'!J195</f>
        <v>17386000</v>
      </c>
      <c r="J53" s="35">
        <f>'03-APU-NUEV UNC 2014'!K195</f>
        <v>21759860</v>
      </c>
      <c r="K53" s="345">
        <f>'03-APU-NUEV UNC 2014'!L195</f>
        <v>26040000</v>
      </c>
    </row>
    <row r="54" spans="1:11">
      <c r="A54" s="921" t="s">
        <v>61</v>
      </c>
      <c r="B54" s="657"/>
      <c r="C54" s="35">
        <f>'03-APU-NUEV UNC 2014'!G365</f>
        <v>2917600.5499588801</v>
      </c>
      <c r="D54" s="35">
        <f>'03-APU-NUEV UNC 2014'!H365</f>
        <v>2755051.2982996223</v>
      </c>
      <c r="E54" s="35">
        <f>'03-APU-NUEV UNC 2014'!I365</f>
        <v>3243529.6705971505</v>
      </c>
      <c r="F54" s="35">
        <f>'03-APU-NUEV UNC 2014'!J365</f>
        <v>3342085.0407136986</v>
      </c>
      <c r="G54" s="35">
        <f>'03-APU-NUEV UNC 2014'!K365</f>
        <v>3400274.0245533586</v>
      </c>
      <c r="H54" s="35">
        <f>'03-APU-NUEV UNC 2014'!L365</f>
        <v>3856677.3753590365</v>
      </c>
      <c r="I54" s="35">
        <f>'03-APU-NUEV UNC 2014'!J365</f>
        <v>3342085.0407136986</v>
      </c>
      <c r="J54" s="35">
        <f>'03-APU-NUEV UNC 2014'!K365</f>
        <v>3400274.0245533586</v>
      </c>
      <c r="K54" s="345">
        <f>'03-APU-NUEV UNC 2014'!L365</f>
        <v>3856677.3753590365</v>
      </c>
    </row>
    <row r="55" spans="1:11">
      <c r="A55" s="917"/>
      <c r="B55" s="918"/>
      <c r="C55" s="1"/>
      <c r="D55" s="1"/>
      <c r="E55" s="1"/>
      <c r="F55" s="1"/>
      <c r="G55" s="1"/>
      <c r="H55" s="1"/>
      <c r="I55" s="1"/>
      <c r="J55" s="1"/>
      <c r="K55" s="7"/>
    </row>
    <row r="56" spans="1:11">
      <c r="A56" s="913" t="s">
        <v>12</v>
      </c>
      <c r="B56" s="914"/>
      <c r="C56" s="104">
        <f>SUM(C53:C55)</f>
        <v>6469600.5499588801</v>
      </c>
      <c r="D56" s="104">
        <f t="shared" ref="D56:H56" si="5">SUM(D53:D55)</f>
        <v>7897051.2982996218</v>
      </c>
      <c r="E56" s="104">
        <f t="shared" si="5"/>
        <v>8759318.3705971502</v>
      </c>
      <c r="F56" s="104">
        <f t="shared" si="5"/>
        <v>10378471.040713698</v>
      </c>
      <c r="G56" s="104">
        <f t="shared" si="5"/>
        <v>12781274.024553359</v>
      </c>
      <c r="H56" s="104">
        <f t="shared" si="5"/>
        <v>17446677.375359036</v>
      </c>
      <c r="I56" s="104">
        <f>SUM(I53,I54)</f>
        <v>20728085.040713698</v>
      </c>
      <c r="J56" s="104">
        <f>SUM(J53,J54)</f>
        <v>25160134.024553359</v>
      </c>
      <c r="K56" s="526">
        <f>SUM(K53,K54)</f>
        <v>29896677.375359036</v>
      </c>
    </row>
    <row r="57" spans="1:11" ht="15.75" thickBot="1">
      <c r="A57" s="924"/>
      <c r="B57" s="925"/>
      <c r="C57" s="4"/>
      <c r="D57" s="4"/>
      <c r="E57" s="4"/>
      <c r="F57" s="4"/>
      <c r="G57" s="4"/>
      <c r="H57" s="4"/>
      <c r="I57" s="4"/>
      <c r="J57" s="4"/>
      <c r="K57" s="137"/>
    </row>
    <row r="58" spans="1:11" ht="16.5" thickTop="1" thickBot="1">
      <c r="A58" s="926" t="s">
        <v>419</v>
      </c>
      <c r="B58" s="927"/>
      <c r="C58" s="124">
        <f t="shared" ref="C58:I58" si="6">SUM(C56,C50,C45,C40,C26)</f>
        <v>13430343.802312644</v>
      </c>
      <c r="D58" s="124">
        <f t="shared" si="6"/>
        <v>14992751.874547699</v>
      </c>
      <c r="E58" s="124">
        <f t="shared" si="6"/>
        <v>16400262.331617521</v>
      </c>
      <c r="F58" s="124">
        <f t="shared" si="6"/>
        <v>20615735.199833877</v>
      </c>
      <c r="G58" s="124">
        <f t="shared" si="6"/>
        <v>23282534.914593354</v>
      </c>
      <c r="H58" s="124">
        <f t="shared" si="6"/>
        <v>30799702.230269503</v>
      </c>
      <c r="I58" s="124">
        <f t="shared" si="6"/>
        <v>34277051.868750393</v>
      </c>
      <c r="J58" s="124">
        <f>SUM(J50,J56,J45,J40,J26)</f>
        <v>38899502.852590054</v>
      </c>
      <c r="K58" s="527">
        <f>SUM(K56,K50,K45,K40,K26)</f>
        <v>43826448.203395732</v>
      </c>
    </row>
    <row r="59" spans="1:11" ht="15.75" thickTop="1">
      <c r="A59" s="915"/>
      <c r="B59" s="916"/>
      <c r="C59" s="512"/>
      <c r="D59" s="512"/>
      <c r="E59" s="512"/>
      <c r="F59" s="512"/>
      <c r="G59" s="512"/>
      <c r="H59" s="512"/>
      <c r="I59" s="520"/>
      <c r="J59" s="520"/>
      <c r="K59" s="528"/>
    </row>
    <row r="60" spans="1:11">
      <c r="A60" s="932" t="s">
        <v>59</v>
      </c>
      <c r="B60" s="933"/>
      <c r="C60" s="516">
        <f>'05-ED-2014'!C14</f>
        <v>8889254.2342970259</v>
      </c>
      <c r="D60" s="516">
        <f>'05-ED-2014'!D14</f>
        <v>17059376.779751569</v>
      </c>
      <c r="E60" s="516">
        <f>'05-ED-2014'!E14</f>
        <v>17067879.57975157</v>
      </c>
      <c r="F60" s="516">
        <f>'05-ED-2014'!G14</f>
        <v>18664701.416697025</v>
      </c>
      <c r="G60" s="516">
        <f>'05-ED-2014'!G14</f>
        <v>18664701.416697025</v>
      </c>
      <c r="H60" s="516">
        <f>'05-ED-2014'!H14</f>
        <v>19598678.339897022</v>
      </c>
      <c r="I60" s="516">
        <f>'05-ED-2014'!I14</f>
        <v>47227182.07456369</v>
      </c>
      <c r="J60" s="516">
        <f>'05-ED-2014'!J14</f>
        <v>47268265.407897025</v>
      </c>
      <c r="K60" s="529">
        <f>'05-ED-2014'!K14</f>
        <v>47309348.741230361</v>
      </c>
    </row>
    <row r="61" spans="1:11">
      <c r="A61" s="915"/>
      <c r="B61" s="916"/>
      <c r="C61" s="512"/>
      <c r="D61" s="512"/>
      <c r="E61" s="512"/>
      <c r="F61" s="512"/>
      <c r="G61" s="512"/>
      <c r="H61" s="512"/>
      <c r="I61" s="512"/>
      <c r="J61" s="512"/>
      <c r="K61" s="510"/>
    </row>
    <row r="62" spans="1:11">
      <c r="A62" s="125" t="s">
        <v>214</v>
      </c>
      <c r="B62" s="123">
        <v>0.1</v>
      </c>
      <c r="C62" s="519">
        <f>SUM(C58,C60)*B62</f>
        <v>2231959.8036609674</v>
      </c>
      <c r="D62" s="519">
        <f>SUM(D58,D60)*B62</f>
        <v>3205212.8654299267</v>
      </c>
      <c r="E62" s="519">
        <f>SUM(E58,E60)*B62</f>
        <v>3346814.1911369096</v>
      </c>
      <c r="F62" s="519">
        <f>SUM(F58,F60)*B62</f>
        <v>3928043.6616530903</v>
      </c>
      <c r="G62" s="519">
        <f>SUM(G58,G60)*B62</f>
        <v>4194723.6331290379</v>
      </c>
      <c r="H62" s="519">
        <f>SUM(H58,H60)*B62</f>
        <v>5039838.057016653</v>
      </c>
      <c r="I62" s="511">
        <f>SUM(I58,I60)*B62</f>
        <v>8150423.3943314077</v>
      </c>
      <c r="J62" s="511">
        <f>SUM(J58,J60)*B62</f>
        <v>8616776.8260487076</v>
      </c>
      <c r="K62" s="530">
        <f>SUM(K58,K60)*B62</f>
        <v>9113579.6944626104</v>
      </c>
    </row>
    <row r="63" spans="1:11" s="28" customFormat="1">
      <c r="A63" s="125" t="s">
        <v>268</v>
      </c>
      <c r="B63" s="123">
        <v>0.1</v>
      </c>
      <c r="C63" s="519">
        <f>SUM(C58,C60)*B63</f>
        <v>2231959.8036609674</v>
      </c>
      <c r="D63" s="519">
        <f>SUM(D58,D60)*B63</f>
        <v>3205212.8654299267</v>
      </c>
      <c r="E63" s="519">
        <f>SUM(E58,E60)*B63</f>
        <v>3346814.1911369096</v>
      </c>
      <c r="F63" s="519">
        <f>SUM(F58,F60)*B63</f>
        <v>3928043.6616530903</v>
      </c>
      <c r="G63" s="519">
        <f>SUM(G58,G60)*B63</f>
        <v>4194723.6331290379</v>
      </c>
      <c r="H63" s="519">
        <f>SUM(H58,H60)*B63</f>
        <v>5039838.057016653</v>
      </c>
      <c r="I63" s="511">
        <f>SUM(I60)*B63</f>
        <v>4722718.207456369</v>
      </c>
      <c r="J63" s="511">
        <f>SUM(J58,J60)*B63</f>
        <v>8616776.8260487076</v>
      </c>
      <c r="K63" s="530">
        <f>SUM(K58,K60)*B63</f>
        <v>9113579.6944626104</v>
      </c>
    </row>
    <row r="64" spans="1:11">
      <c r="A64" s="125" t="s">
        <v>269</v>
      </c>
      <c r="B64" s="123">
        <v>0.05</v>
      </c>
      <c r="C64" s="519">
        <f>SUM(C58,C60)*B64</f>
        <v>1115979.9018304837</v>
      </c>
      <c r="D64" s="519">
        <f>SUM(D58,D60)*B64</f>
        <v>1602606.4327149633</v>
      </c>
      <c r="E64" s="519">
        <f>SUM(E58,E60)*B64</f>
        <v>1673407.0955684548</v>
      </c>
      <c r="F64" s="519">
        <f>SUM(F58,F60)*B64</f>
        <v>1964021.8308265451</v>
      </c>
      <c r="G64" s="519">
        <f>SUM(G58,G60)*B64</f>
        <v>2097361.816564519</v>
      </c>
      <c r="H64" s="519">
        <f>SUM(H58,H60)*B64</f>
        <v>2519919.0285083265</v>
      </c>
      <c r="I64" s="511">
        <f>SUM(I60)*B64</f>
        <v>2361359.1037281845</v>
      </c>
      <c r="J64" s="511">
        <f>SUM(J58,J60)*B64</f>
        <v>4308388.4130243538</v>
      </c>
      <c r="K64" s="530">
        <f>SUM(K60)*B64</f>
        <v>2365467.437061518</v>
      </c>
    </row>
    <row r="65" spans="1:11">
      <c r="A65" s="125" t="s">
        <v>274</v>
      </c>
      <c r="B65" s="123">
        <v>0.16</v>
      </c>
      <c r="C65" s="519">
        <f>C64*B65</f>
        <v>178556.78429287739</v>
      </c>
      <c r="D65" s="519">
        <f>D64*B65</f>
        <v>256417.02923439414</v>
      </c>
      <c r="E65" s="519">
        <f>E64*B65</f>
        <v>267745.13529095275</v>
      </c>
      <c r="F65" s="519">
        <f>F64*B65</f>
        <v>314243.49293224723</v>
      </c>
      <c r="G65" s="519">
        <f>G64*B65</f>
        <v>335577.89065032307</v>
      </c>
      <c r="H65" s="519">
        <f>H64*B65</f>
        <v>403187.04456133227</v>
      </c>
      <c r="I65" s="518">
        <f>I64*B65</f>
        <v>377817.4565965095</v>
      </c>
      <c r="J65" s="518">
        <f>J64*B65</f>
        <v>689342.14608389663</v>
      </c>
      <c r="K65" s="531">
        <f>K64*B65</f>
        <v>378474.78992984287</v>
      </c>
    </row>
    <row r="66" spans="1:11" ht="15.75" thickBot="1">
      <c r="A66" s="928"/>
      <c r="B66" s="929"/>
      <c r="C66" s="517"/>
      <c r="D66" s="512"/>
      <c r="E66" s="512"/>
      <c r="F66" s="512"/>
      <c r="G66" s="512"/>
      <c r="H66" s="512"/>
      <c r="I66" s="2"/>
      <c r="J66" s="2"/>
      <c r="K66" s="34"/>
    </row>
    <row r="67" spans="1:11" ht="24" customHeight="1" thickBot="1">
      <c r="A67" s="930" t="s">
        <v>414</v>
      </c>
      <c r="B67" s="931"/>
      <c r="C67" s="496">
        <f>SUM(C58,C60,C62:C65)</f>
        <v>28078054.330054965</v>
      </c>
      <c r="D67" s="496">
        <f>SUM(D58,D60,D62:D65)</f>
        <v>40321577.847108476</v>
      </c>
      <c r="E67" s="496">
        <f>SUM(E58,E60,E63:E65)</f>
        <v>38756108.333365411</v>
      </c>
      <c r="F67" s="496">
        <f t="shared" ref="F67:K67" si="7">SUM(F58,F60,F62:F65)</f>
        <v>49414789.263595872</v>
      </c>
      <c r="G67" s="496">
        <f t="shared" si="7"/>
        <v>52769623.304763295</v>
      </c>
      <c r="H67" s="496">
        <f t="shared" si="7"/>
        <v>63401162.757269502</v>
      </c>
      <c r="I67" s="496">
        <f t="shared" si="7"/>
        <v>97116552.10542655</v>
      </c>
      <c r="J67" s="496">
        <f t="shared" si="7"/>
        <v>108399052.47169273</v>
      </c>
      <c r="K67" s="532">
        <f t="shared" si="7"/>
        <v>112106898.56054267</v>
      </c>
    </row>
    <row r="69" spans="1:11">
      <c r="A69" s="28"/>
      <c r="B69" s="28"/>
      <c r="C69" s="28"/>
      <c r="D69" s="28"/>
      <c r="E69" s="28"/>
      <c r="F69" s="28"/>
      <c r="G69" s="28"/>
      <c r="H69" s="28"/>
    </row>
    <row r="70" spans="1:11">
      <c r="A70" s="28"/>
      <c r="B70" s="28"/>
      <c r="C70" s="28"/>
      <c r="D70" s="28"/>
      <c r="E70" s="28"/>
      <c r="F70" s="28"/>
      <c r="G70" s="28"/>
      <c r="H70" s="28"/>
    </row>
    <row r="71" spans="1:11">
      <c r="A71" s="28"/>
      <c r="B71" s="28"/>
      <c r="C71" s="28"/>
      <c r="D71" s="28"/>
      <c r="E71" s="28"/>
      <c r="F71" s="28"/>
      <c r="G71" s="28"/>
      <c r="H71" s="28"/>
    </row>
    <row r="72" spans="1:11">
      <c r="A72" s="28"/>
      <c r="B72" s="28"/>
      <c r="C72" s="28"/>
      <c r="D72" s="28"/>
      <c r="E72" s="28"/>
      <c r="F72" s="28"/>
      <c r="G72" s="28"/>
      <c r="H72" s="28"/>
    </row>
    <row r="73" spans="1:11">
      <c r="A73" s="28"/>
      <c r="B73" s="28"/>
      <c r="C73" s="28"/>
      <c r="D73" s="28"/>
      <c r="E73" s="28"/>
      <c r="F73" s="28"/>
      <c r="G73" s="28"/>
      <c r="H73" s="28"/>
    </row>
    <row r="74" spans="1:11">
      <c r="A74" s="28"/>
      <c r="B74" s="28"/>
      <c r="C74" s="28"/>
      <c r="D74" s="28"/>
      <c r="E74" s="28"/>
      <c r="F74" s="28"/>
      <c r="G74" s="28"/>
      <c r="H74" s="28"/>
    </row>
    <row r="75" spans="1:11">
      <c r="A75" s="28"/>
      <c r="B75" s="28"/>
      <c r="C75" s="28"/>
      <c r="D75" s="28"/>
      <c r="E75" s="28"/>
      <c r="F75" s="28"/>
      <c r="G75" s="28"/>
      <c r="H75" s="28"/>
    </row>
    <row r="76" spans="1:11">
      <c r="A76" s="28"/>
      <c r="B76" s="28"/>
      <c r="C76" s="28"/>
      <c r="D76" s="28"/>
      <c r="E76" s="28"/>
      <c r="F76" s="28"/>
      <c r="G76" s="28"/>
      <c r="H76" s="28"/>
    </row>
    <row r="77" spans="1:11">
      <c r="A77" s="28"/>
      <c r="B77" s="28"/>
      <c r="C77" s="28"/>
      <c r="D77" s="28"/>
      <c r="E77" s="28"/>
      <c r="F77" s="28"/>
      <c r="G77" s="28"/>
      <c r="H77" s="28"/>
    </row>
    <row r="78" spans="1:11">
      <c r="A78" s="28"/>
      <c r="B78" s="28"/>
      <c r="C78" s="28"/>
      <c r="D78" s="28"/>
      <c r="E78" s="28"/>
      <c r="F78" s="28"/>
      <c r="G78" s="28"/>
      <c r="H78" s="28"/>
    </row>
    <row r="79" spans="1:11">
      <c r="A79" s="28"/>
      <c r="B79" s="28"/>
      <c r="C79" s="28"/>
      <c r="D79" s="28"/>
      <c r="E79" s="28"/>
      <c r="F79" s="28"/>
      <c r="G79" s="28"/>
      <c r="H79" s="28"/>
    </row>
    <row r="80" spans="1:11">
      <c r="A80" s="28"/>
      <c r="B80" s="28"/>
      <c r="C80" s="28"/>
      <c r="D80" s="28"/>
      <c r="E80" s="28"/>
      <c r="F80" s="28"/>
      <c r="G80" s="28"/>
      <c r="H80" s="28"/>
    </row>
    <row r="81" spans="1:8">
      <c r="A81" s="28"/>
      <c r="B81" s="28"/>
      <c r="C81" s="28"/>
      <c r="D81" s="28"/>
      <c r="E81" s="28"/>
      <c r="F81" s="28"/>
      <c r="G81" s="28"/>
      <c r="H81" s="28"/>
    </row>
    <row r="82" spans="1:8">
      <c r="A82" s="28"/>
      <c r="B82" s="28"/>
      <c r="C82" s="28"/>
      <c r="D82" s="28"/>
      <c r="E82" s="28"/>
      <c r="F82" s="28"/>
      <c r="G82" s="28"/>
      <c r="H82" s="28"/>
    </row>
    <row r="83" spans="1:8">
      <c r="A83" s="28"/>
      <c r="B83" s="28"/>
      <c r="C83" s="28"/>
      <c r="D83" s="28"/>
      <c r="E83" s="28"/>
      <c r="F83" s="28"/>
      <c r="G83" s="28"/>
      <c r="H83" s="28"/>
    </row>
    <row r="84" spans="1:8">
      <c r="A84" s="28"/>
      <c r="B84" s="28"/>
      <c r="C84" s="28"/>
      <c r="D84" s="28"/>
      <c r="E84" s="28"/>
      <c r="F84" s="28"/>
      <c r="G84" s="28"/>
      <c r="H84" s="28"/>
    </row>
    <row r="85" spans="1:8">
      <c r="A85" s="28"/>
      <c r="B85" s="28"/>
      <c r="C85" s="28"/>
      <c r="D85" s="28"/>
      <c r="E85" s="28"/>
      <c r="F85" s="28"/>
      <c r="G85" s="28"/>
      <c r="H85" s="28"/>
    </row>
    <row r="86" spans="1:8">
      <c r="A86" s="28"/>
      <c r="B86" s="28"/>
      <c r="C86" s="28"/>
      <c r="D86" s="28"/>
      <c r="E86" s="28"/>
      <c r="F86" s="28"/>
      <c r="G86" s="28"/>
      <c r="H86" s="28"/>
    </row>
  </sheetData>
  <mergeCells count="64">
    <mergeCell ref="A23:B23"/>
    <mergeCell ref="A24:B24"/>
    <mergeCell ref="A7:B7"/>
    <mergeCell ref="A51:B51"/>
    <mergeCell ref="A52:B52"/>
    <mergeCell ref="A11:B11"/>
    <mergeCell ref="A10:B10"/>
    <mergeCell ref="A12:B12"/>
    <mergeCell ref="A31:B31"/>
    <mergeCell ref="A32:B32"/>
    <mergeCell ref="A33:B33"/>
    <mergeCell ref="A25:B25"/>
    <mergeCell ref="A26:B26"/>
    <mergeCell ref="A27:B27"/>
    <mergeCell ref="A28:B2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66:B66"/>
    <mergeCell ref="A67:B67"/>
    <mergeCell ref="A59:B59"/>
    <mergeCell ref="A60:B60"/>
    <mergeCell ref="A61:B61"/>
    <mergeCell ref="A53:B53"/>
    <mergeCell ref="A55:B55"/>
    <mergeCell ref="A56:B56"/>
    <mergeCell ref="A57:B57"/>
    <mergeCell ref="A58:B58"/>
    <mergeCell ref="A54:B54"/>
    <mergeCell ref="A46:B46"/>
    <mergeCell ref="A47:B47"/>
    <mergeCell ref="A48:B48"/>
    <mergeCell ref="A50:B50"/>
    <mergeCell ref="A41:B41"/>
    <mergeCell ref="A42:B42"/>
    <mergeCell ref="A43:B43"/>
    <mergeCell ref="A49:B49"/>
    <mergeCell ref="A6:B6"/>
    <mergeCell ref="A1:B5"/>
    <mergeCell ref="C6:I6"/>
    <mergeCell ref="A44:B44"/>
    <mergeCell ref="A45:B45"/>
    <mergeCell ref="A8:B8"/>
    <mergeCell ref="A39:B39"/>
    <mergeCell ref="A40:B40"/>
    <mergeCell ref="A34:B34"/>
    <mergeCell ref="A35:B35"/>
    <mergeCell ref="A36:B36"/>
    <mergeCell ref="A37:B37"/>
    <mergeCell ref="A38:B38"/>
    <mergeCell ref="A29:B29"/>
    <mergeCell ref="A30:B30"/>
    <mergeCell ref="A18:B18"/>
    <mergeCell ref="C4:I5"/>
    <mergeCell ref="C1:I3"/>
    <mergeCell ref="J2:K2"/>
    <mergeCell ref="J1:K1"/>
    <mergeCell ref="J3:K3"/>
  </mergeCells>
  <pageMargins left="0.7" right="0.7" top="0.75" bottom="0.75" header="0.3" footer="0.3"/>
  <pageSetup orientation="portrait" horizontalDpi="4294967292" r:id="rId1"/>
  <ignoredErrors>
    <ignoredError sqref="E40 D30:D31 E30:E31 F30:F31 G30:G31 H30:H37 E38 D48 G14:G21 H14:H21 F14:F21 H23 D43 E43 F43 G43 D35:D38 E35:E37 F35:F37 G35:G37 G33 F33 E33 D33 D32 D34 D53 D14:D23 E18:E23 E48 E32 E34 E53 F38 F48 F32 F34 F53 G38 G48 G32 G34 G53 H43 H38 H48 H53 E6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K74"/>
  <sheetViews>
    <sheetView zoomScale="75" zoomScaleNormal="75" workbookViewId="0">
      <pane ySplit="7" topLeftCell="A38" activePane="bottomLeft" state="frozen"/>
      <selection pane="bottomLeft" activeCell="G53" sqref="G53"/>
    </sheetView>
  </sheetViews>
  <sheetFormatPr baseColWidth="10" defaultRowHeight="15"/>
  <cols>
    <col min="1" max="1" width="28.85546875" style="28" customWidth="1"/>
    <col min="2" max="2" width="26" style="28" customWidth="1"/>
    <col min="3" max="11" width="18.7109375" style="28" customWidth="1"/>
    <col min="12" max="16384" width="11.42578125" style="28"/>
  </cols>
  <sheetData>
    <row r="1" spans="1:11" ht="21" customHeight="1">
      <c r="A1" s="962" t="s">
        <v>97</v>
      </c>
      <c r="B1" s="963"/>
      <c r="C1" s="940" t="s">
        <v>411</v>
      </c>
      <c r="D1" s="894"/>
      <c r="E1" s="894"/>
      <c r="F1" s="894"/>
      <c r="G1" s="894"/>
      <c r="H1" s="894"/>
      <c r="I1" s="941"/>
      <c r="J1" s="956" t="s">
        <v>421</v>
      </c>
      <c r="K1" s="957"/>
    </row>
    <row r="2" spans="1:11" ht="24" customHeight="1">
      <c r="A2" s="964"/>
      <c r="B2" s="965"/>
      <c r="C2" s="942"/>
      <c r="D2" s="896"/>
      <c r="E2" s="896"/>
      <c r="F2" s="896"/>
      <c r="G2" s="896"/>
      <c r="H2" s="896"/>
      <c r="I2" s="943"/>
      <c r="J2" s="958" t="s">
        <v>95</v>
      </c>
      <c r="K2" s="959"/>
    </row>
    <row r="3" spans="1:11" ht="24" customHeight="1" thickBot="1">
      <c r="A3" s="966"/>
      <c r="B3" s="967"/>
      <c r="C3" s="938" t="s">
        <v>416</v>
      </c>
      <c r="D3" s="890"/>
      <c r="E3" s="890"/>
      <c r="F3" s="890"/>
      <c r="G3" s="890"/>
      <c r="H3" s="890"/>
      <c r="I3" s="939"/>
      <c r="J3" s="960">
        <v>41962</v>
      </c>
      <c r="K3" s="961"/>
    </row>
    <row r="4" spans="1:11" ht="15" customHeight="1">
      <c r="A4" s="944" t="s">
        <v>420</v>
      </c>
      <c r="B4" s="945"/>
      <c r="C4" s="950"/>
      <c r="D4" s="951"/>
      <c r="E4" s="951"/>
      <c r="F4" s="951"/>
      <c r="G4" s="951"/>
      <c r="H4" s="951"/>
      <c r="I4" s="951"/>
      <c r="J4" s="547"/>
      <c r="K4" s="548"/>
    </row>
    <row r="5" spans="1:11" ht="15" customHeight="1">
      <c r="A5" s="946"/>
      <c r="B5" s="947"/>
      <c r="C5" s="952"/>
      <c r="D5" s="953"/>
      <c r="E5" s="953"/>
      <c r="F5" s="953"/>
      <c r="G5" s="953"/>
      <c r="H5" s="953"/>
      <c r="I5" s="953"/>
      <c r="J5" s="549"/>
      <c r="K5" s="550"/>
    </row>
    <row r="6" spans="1:11" ht="15.75" thickBot="1">
      <c r="A6" s="948"/>
      <c r="B6" s="949"/>
      <c r="C6" s="954"/>
      <c r="D6" s="955"/>
      <c r="E6" s="955"/>
      <c r="F6" s="955"/>
      <c r="G6" s="955"/>
      <c r="H6" s="955"/>
      <c r="I6" s="955"/>
      <c r="J6" s="551"/>
      <c r="K6" s="552"/>
    </row>
    <row r="7" spans="1:11">
      <c r="A7" s="934" t="s">
        <v>62</v>
      </c>
      <c r="B7" s="935"/>
      <c r="C7" s="514" t="s">
        <v>0</v>
      </c>
      <c r="D7" s="514" t="s">
        <v>1</v>
      </c>
      <c r="E7" s="514" t="s">
        <v>2</v>
      </c>
      <c r="F7" s="514" t="s">
        <v>3</v>
      </c>
      <c r="G7" s="514" t="s">
        <v>4</v>
      </c>
      <c r="H7" s="514" t="s">
        <v>5</v>
      </c>
      <c r="I7" s="514" t="s">
        <v>6</v>
      </c>
      <c r="J7" s="514" t="s">
        <v>7</v>
      </c>
      <c r="K7" s="521" t="s">
        <v>8</v>
      </c>
    </row>
    <row r="8" spans="1:11">
      <c r="A8" s="915"/>
      <c r="B8" s="916"/>
      <c r="C8" s="66"/>
      <c r="D8" s="66"/>
      <c r="E8" s="66"/>
      <c r="F8" s="1"/>
      <c r="G8" s="1"/>
      <c r="H8" s="1"/>
      <c r="I8" s="1"/>
      <c r="J8" s="1"/>
      <c r="K8" s="7"/>
    </row>
    <row r="9" spans="1:11">
      <c r="A9" s="522" t="s">
        <v>32</v>
      </c>
      <c r="B9" s="106"/>
      <c r="C9" s="66"/>
      <c r="D9" s="66"/>
      <c r="E9" s="66"/>
      <c r="F9" s="1"/>
      <c r="G9" s="1"/>
      <c r="H9" s="1"/>
      <c r="I9" s="1"/>
      <c r="J9" s="1"/>
      <c r="K9" s="7"/>
    </row>
    <row r="10" spans="1:11">
      <c r="A10" s="911"/>
      <c r="B10" s="912"/>
      <c r="C10" s="66"/>
      <c r="D10" s="66"/>
      <c r="E10" s="66"/>
      <c r="F10" s="1"/>
      <c r="G10" s="1"/>
      <c r="H10" s="1"/>
      <c r="I10" s="1"/>
      <c r="J10" s="1"/>
      <c r="K10" s="7"/>
    </row>
    <row r="11" spans="1:11">
      <c r="A11" s="922" t="s">
        <v>33</v>
      </c>
      <c r="B11" s="923"/>
      <c r="C11" s="66"/>
      <c r="D11" s="66"/>
      <c r="E11" s="66"/>
      <c r="F11" s="1"/>
      <c r="G11" s="1"/>
      <c r="H11" s="1"/>
      <c r="I11" s="1"/>
      <c r="J11" s="1"/>
      <c r="K11" s="7"/>
    </row>
    <row r="12" spans="1:11">
      <c r="A12" s="921"/>
      <c r="B12" s="657"/>
      <c r="C12" s="66"/>
      <c r="D12" s="66"/>
      <c r="E12" s="66"/>
      <c r="F12" s="1"/>
      <c r="G12" s="1"/>
      <c r="H12" s="1"/>
      <c r="I12" s="1"/>
      <c r="J12" s="1"/>
      <c r="K12" s="7"/>
    </row>
    <row r="13" spans="1:11">
      <c r="A13" s="922" t="s">
        <v>34</v>
      </c>
      <c r="B13" s="923"/>
      <c r="C13" s="66"/>
      <c r="D13" s="66"/>
      <c r="E13" s="66"/>
      <c r="F13" s="1"/>
      <c r="G13" s="1"/>
      <c r="H13" s="1"/>
      <c r="I13" s="1"/>
      <c r="J13" s="1"/>
      <c r="K13" s="7"/>
    </row>
    <row r="14" spans="1:11">
      <c r="A14" s="921" t="s">
        <v>35</v>
      </c>
      <c r="B14" s="657"/>
      <c r="C14" s="57">
        <f>'03-APU-NUEV UNC 2014'!D114</f>
        <v>302073.86135050002</v>
      </c>
      <c r="D14" s="57">
        <f>'03-APU-NUEV UNC 2014'!E114</f>
        <v>302073.86135050002</v>
      </c>
      <c r="E14" s="57">
        <f>'03-APU-NUEV UNC 2014'!F114</f>
        <v>302073.86135050002</v>
      </c>
      <c r="F14" s="35">
        <f>'03-APU-NUEV UNC 2014'!G114</f>
        <v>302073.86135050002</v>
      </c>
      <c r="G14" s="35">
        <f>'03-APU-NUEV UNC 2014'!H114</f>
        <v>302073.86135050002</v>
      </c>
      <c r="H14" s="35">
        <f>'03-APU-NUEV UNC 2014'!I114</f>
        <v>302073.86135050002</v>
      </c>
      <c r="I14" s="35">
        <f>'03-APU-NUEV UNC 2014'!J114</f>
        <v>302073.86135050002</v>
      </c>
      <c r="J14" s="35">
        <f>'03-APU-NUEV UNC 2014'!K114</f>
        <v>302073.86135050002</v>
      </c>
      <c r="K14" s="345">
        <f>'03-APU-NUEV UNC 2014'!L114</f>
        <v>302073.86135050002</v>
      </c>
    </row>
    <row r="15" spans="1:11">
      <c r="A15" s="921" t="s">
        <v>36</v>
      </c>
      <c r="B15" s="657"/>
      <c r="C15" s="57">
        <f>'03-APU-NUEV UNC 2014'!D129</f>
        <v>265686.27339793002</v>
      </c>
      <c r="D15" s="57">
        <f>'03-APU-NUEV UNC 2014'!E129</f>
        <v>265686.27339793002</v>
      </c>
      <c r="E15" s="57">
        <f>'03-APU-NUEV UNC 2014'!F129</f>
        <v>265686.27339793002</v>
      </c>
      <c r="F15" s="35">
        <f>'03-APU-NUEV UNC 2014'!G129</f>
        <v>265686.27339793002</v>
      </c>
      <c r="G15" s="35">
        <f>'03-APU-NUEV UNC 2014'!H129</f>
        <v>265686.27339793002</v>
      </c>
      <c r="H15" s="35">
        <f>'03-APU-NUEV UNC 2014'!I129</f>
        <v>265686.27339793002</v>
      </c>
      <c r="I15" s="35">
        <f>'03-APU-NUEV UNC 2014'!J129</f>
        <v>265686.27339793002</v>
      </c>
      <c r="J15" s="35">
        <f>'03-APU-NUEV UNC 2014'!K129</f>
        <v>265686.27339793002</v>
      </c>
      <c r="K15" s="345">
        <f>'03-APU-NUEV UNC 2014'!L129</f>
        <v>265686.27339793002</v>
      </c>
    </row>
    <row r="16" spans="1:11">
      <c r="A16" s="911"/>
      <c r="B16" s="912"/>
      <c r="C16" s="66"/>
      <c r="D16" s="66"/>
      <c r="E16" s="66"/>
      <c r="F16" s="1"/>
      <c r="G16" s="1"/>
      <c r="H16" s="1"/>
      <c r="I16" s="1"/>
      <c r="J16" s="1"/>
      <c r="K16" s="7"/>
    </row>
    <row r="17" spans="1:11">
      <c r="A17" s="922" t="s">
        <v>63</v>
      </c>
      <c r="B17" s="923"/>
      <c r="C17" s="66"/>
      <c r="D17" s="66"/>
      <c r="E17" s="66"/>
      <c r="F17" s="1"/>
      <c r="G17" s="1"/>
      <c r="H17" s="1"/>
      <c r="I17" s="1"/>
      <c r="J17" s="1"/>
      <c r="K17" s="7"/>
    </row>
    <row r="18" spans="1:11">
      <c r="A18" s="921" t="s">
        <v>37</v>
      </c>
      <c r="B18" s="657"/>
      <c r="C18" s="57">
        <f>'03-APU-NUEV UNC 2014'!D144</f>
        <v>474603.17987826344</v>
      </c>
      <c r="D18" s="57">
        <f>'03-APU-NUEV UNC 2014'!E144</f>
        <v>474603.17987826344</v>
      </c>
      <c r="E18" s="57">
        <f>'03-APU-NUEV UNC 2014'!F144</f>
        <v>474603.17987826344</v>
      </c>
      <c r="F18" s="35">
        <f>'03-APU-NUEV UNC 2014'!D144</f>
        <v>474603.17987826344</v>
      </c>
      <c r="G18" s="35">
        <f>'03-APU-NUEV UNC 2014'!H144</f>
        <v>474603.17987826344</v>
      </c>
      <c r="H18" s="35">
        <f>'03-APU-NUEV UNC 2014'!I144</f>
        <v>474603.17987826344</v>
      </c>
      <c r="I18" s="35">
        <f>'03-APU-NUEV UNC 2014'!J144</f>
        <v>474603.17987826344</v>
      </c>
      <c r="J18" s="35">
        <f>'03-APU-NUEV UNC 2014'!K144</f>
        <v>474603.17987826344</v>
      </c>
      <c r="K18" s="345">
        <f>'03-APU-NUEV UNC 2014'!L144</f>
        <v>474603.17987826344</v>
      </c>
    </row>
    <row r="19" spans="1:11">
      <c r="A19" s="921" t="s">
        <v>64</v>
      </c>
      <c r="B19" s="657"/>
      <c r="C19" s="57">
        <f>'03-APU-NUEV UNC 2014'!D160</f>
        <v>740289.45327619347</v>
      </c>
      <c r="D19" s="57">
        <f>'03-APU-NUEV UNC 2014'!E160</f>
        <v>740289.45327619347</v>
      </c>
      <c r="E19" s="57">
        <f>'03-APU-NUEV UNC 2014'!F160</f>
        <v>740289.45327619347</v>
      </c>
      <c r="F19" s="35">
        <f>'03-APU-NUEV UNC 2014'!G160</f>
        <v>740289.45327619347</v>
      </c>
      <c r="G19" s="35">
        <f>'03-APU-NUEV UNC 2014'!H160</f>
        <v>740289.45327619347</v>
      </c>
      <c r="H19" s="35">
        <f>'03-APU-NUEV UNC 2014'!I160</f>
        <v>740289.45327619347</v>
      </c>
      <c r="I19" s="35">
        <f>'03-APU-NUEV UNC 2014'!J160</f>
        <v>740289.45327619347</v>
      </c>
      <c r="J19" s="35">
        <f>'03-APU-NUEV UNC 2014'!K160</f>
        <v>740289.45327619347</v>
      </c>
      <c r="K19" s="345">
        <f>'03-APU-NUEV UNC 2014'!L160</f>
        <v>740289.45327619347</v>
      </c>
    </row>
    <row r="20" spans="1:11">
      <c r="A20" s="921" t="s">
        <v>38</v>
      </c>
      <c r="B20" s="657"/>
      <c r="C20" s="57">
        <f>'03-APU-NUEV UNC 2014'!D176</f>
        <v>596995.36707874015</v>
      </c>
      <c r="D20" s="57">
        <f>'03-APU-NUEV UNC 2014'!E176</f>
        <v>596995.36707874015</v>
      </c>
      <c r="E20" s="57">
        <f>'03-APU-NUEV UNC 2014'!F176</f>
        <v>596995.36707874015</v>
      </c>
      <c r="F20" s="35">
        <f>'03-APU-NUEV UNC 2014'!G176</f>
        <v>596995.36707874015</v>
      </c>
      <c r="G20" s="35">
        <f>'03-APU-NUEV UNC 2014'!H176</f>
        <v>596995.36707874015</v>
      </c>
      <c r="H20" s="35">
        <f>'03-APU-NUEV UNC 2014'!I176</f>
        <v>596995.36707874015</v>
      </c>
      <c r="I20" s="35">
        <f>'03-APU-NUEV UNC 2014'!J176</f>
        <v>596995.36707874015</v>
      </c>
      <c r="J20" s="35">
        <f>'03-APU-NUEV UNC 2014'!K176</f>
        <v>596995.36707874015</v>
      </c>
      <c r="K20" s="345">
        <f>'03-APU-NUEV UNC 2014'!L176</f>
        <v>596995.36707874015</v>
      </c>
    </row>
    <row r="21" spans="1:11">
      <c r="A21" s="921"/>
      <c r="B21" s="657"/>
      <c r="C21" s="57"/>
      <c r="D21" s="57"/>
      <c r="E21" s="57"/>
      <c r="F21" s="1"/>
      <c r="G21" s="1"/>
      <c r="H21" s="1"/>
      <c r="I21" s="1"/>
      <c r="J21" s="1"/>
      <c r="K21" s="7"/>
    </row>
    <row r="22" spans="1:11">
      <c r="A22" s="922" t="s">
        <v>270</v>
      </c>
      <c r="B22" s="923"/>
      <c r="C22" s="57">
        <f>'03-APU-NUEV UNC 2014'!D212</f>
        <v>387280</v>
      </c>
      <c r="D22" s="57">
        <f>'03-APU-NUEV UNC 2014'!E212</f>
        <v>387280</v>
      </c>
      <c r="E22" s="57">
        <f>'03-APU-NUEV UNC 2014'!F212</f>
        <v>387280</v>
      </c>
      <c r="F22" s="57">
        <f>'02-HH-2014'!$G$51*9.5*4</f>
        <v>2081619.3878984498</v>
      </c>
      <c r="G22" s="57">
        <f>'02-HH-2014'!$G$51*9.5*4</f>
        <v>2081619.3878984498</v>
      </c>
      <c r="H22" s="57">
        <f>'02-HH-2014'!$G$51*9.5*4</f>
        <v>2081619.3878984498</v>
      </c>
      <c r="I22" s="35">
        <f>'02-HH-2014'!$G$51*9.5*4</f>
        <v>2081619.3878984498</v>
      </c>
      <c r="J22" s="35">
        <f>'02-HH-2014'!$G$51*9.5*4</f>
        <v>2081619.3878984498</v>
      </c>
      <c r="K22" s="345">
        <f>'02-HH-2014'!$G$51*9.5*4</f>
        <v>2081619.3878984498</v>
      </c>
    </row>
    <row r="23" spans="1:11">
      <c r="A23" s="921"/>
      <c r="B23" s="657"/>
      <c r="C23" s="57"/>
      <c r="D23" s="57"/>
      <c r="E23" s="57"/>
      <c r="F23" s="32"/>
      <c r="G23" s="1"/>
      <c r="H23" s="1"/>
      <c r="I23" s="1"/>
      <c r="J23" s="1"/>
      <c r="K23" s="7"/>
    </row>
    <row r="24" spans="1:11">
      <c r="A24" s="922" t="s">
        <v>39</v>
      </c>
      <c r="B24" s="923"/>
      <c r="C24" s="57">
        <f>'03-APU-NUEV UNC 2014'!D65</f>
        <v>2198996.3333333335</v>
      </c>
      <c r="D24" s="57">
        <f>'03-APU-NUEV UNC 2014'!E65</f>
        <v>2198996.3333333335</v>
      </c>
      <c r="E24" s="57">
        <f>'03-APU-NUEV UNC 2014'!F65</f>
        <v>2198996.3333333335</v>
      </c>
      <c r="F24" s="35">
        <f>'03-APU-NUEV UNC 2014'!F65</f>
        <v>2198996.3333333335</v>
      </c>
      <c r="G24" s="35">
        <f>'03-APU-NUEV UNC 2014'!G65</f>
        <v>2198996.3333333335</v>
      </c>
      <c r="H24" s="35">
        <f>'03-APU-NUEV UNC 2014'!H65</f>
        <v>2198996.3333333335</v>
      </c>
      <c r="I24" s="35">
        <f>'03-APU-NUEV UNC 2014'!J65</f>
        <v>3021775.666666667</v>
      </c>
      <c r="J24" s="35">
        <f>'03-APU-NUEV UNC 2014'!K65</f>
        <v>3057192.3333333335</v>
      </c>
      <c r="K24" s="345">
        <f>'03-APU-NUEV UNC 2014'!L65</f>
        <v>3092609</v>
      </c>
    </row>
    <row r="25" spans="1:11">
      <c r="A25" s="917"/>
      <c r="B25" s="918"/>
      <c r="C25" s="66"/>
      <c r="D25" s="66"/>
      <c r="E25" s="66"/>
      <c r="F25" s="1"/>
      <c r="G25" s="1"/>
      <c r="H25" s="1"/>
      <c r="I25" s="1"/>
      <c r="J25" s="1"/>
      <c r="K25" s="7"/>
    </row>
    <row r="26" spans="1:11">
      <c r="A26" s="913" t="s">
        <v>12</v>
      </c>
      <c r="B26" s="914"/>
      <c r="C26" s="121">
        <f t="shared" ref="C26:E26" si="0">SUM(C8:C25)</f>
        <v>4965924.4683149606</v>
      </c>
      <c r="D26" s="121">
        <f t="shared" si="0"/>
        <v>4965924.4683149606</v>
      </c>
      <c r="E26" s="121">
        <f t="shared" si="0"/>
        <v>4965924.4683149606</v>
      </c>
      <c r="F26" s="121">
        <f t="shared" ref="F26:H26" si="1">SUM(F8:F25)</f>
        <v>6660263.8562134113</v>
      </c>
      <c r="G26" s="121">
        <f t="shared" si="1"/>
        <v>6660263.8562134113</v>
      </c>
      <c r="H26" s="121">
        <f t="shared" si="1"/>
        <v>6660263.8562134113</v>
      </c>
      <c r="I26" s="121">
        <f>SUM(I14:I15,I18:I20,I22,I24)</f>
        <v>7483043.1895467443</v>
      </c>
      <c r="J26" s="121">
        <f>SUM(J14:J15,J18:J20,J22,J24)</f>
        <v>7518459.8562134113</v>
      </c>
      <c r="K26" s="523">
        <f>SUM(K14:K15,K18:K20,K22,K24)</f>
        <v>7553876.5228800774</v>
      </c>
    </row>
    <row r="27" spans="1:11">
      <c r="A27" s="915"/>
      <c r="B27" s="916"/>
      <c r="C27" s="1"/>
      <c r="D27" s="1"/>
      <c r="E27" s="1"/>
      <c r="F27" s="1"/>
      <c r="G27" s="1"/>
      <c r="H27" s="1"/>
      <c r="I27" s="2"/>
      <c r="J27" s="2"/>
      <c r="K27" s="34"/>
    </row>
    <row r="28" spans="1:11">
      <c r="A28" s="936" t="s">
        <v>44</v>
      </c>
      <c r="B28" s="937"/>
      <c r="C28" s="2"/>
      <c r="D28" s="1"/>
      <c r="E28" s="1"/>
      <c r="F28" s="1"/>
      <c r="G28" s="1"/>
      <c r="H28" s="1"/>
      <c r="I28" s="1"/>
      <c r="J28" s="1"/>
      <c r="K28" s="7"/>
    </row>
    <row r="29" spans="1:11">
      <c r="A29" s="919" t="s">
        <v>65</v>
      </c>
      <c r="B29" s="920"/>
      <c r="C29" s="35">
        <v>12500</v>
      </c>
      <c r="D29" s="35">
        <v>12500</v>
      </c>
      <c r="E29" s="35">
        <v>12500</v>
      </c>
      <c r="F29" s="35">
        <v>12500</v>
      </c>
      <c r="G29" s="35">
        <v>12500</v>
      </c>
      <c r="H29" s="35">
        <v>12500</v>
      </c>
      <c r="I29" s="35">
        <v>12500</v>
      </c>
      <c r="J29" s="35">
        <v>12500</v>
      </c>
      <c r="K29" s="345">
        <v>12500</v>
      </c>
    </row>
    <row r="30" spans="1:11">
      <c r="A30" s="919" t="s">
        <v>66</v>
      </c>
      <c r="B30" s="920"/>
      <c r="C30" s="35">
        <f>'03-APU-NUEV UNC 2014'!G227</f>
        <v>112096.10866666665</v>
      </c>
      <c r="D30" s="35">
        <f>'03-APU-NUEV UNC 2014'!H227</f>
        <v>112096.10866666665</v>
      </c>
      <c r="E30" s="35">
        <f>'03-APU-NUEV UNC 2014'!I227</f>
        <v>112096.10866666665</v>
      </c>
      <c r="F30" s="35">
        <f>'03-APU-NUEV UNC 2014'!J227</f>
        <v>112096.10866666665</v>
      </c>
      <c r="G30" s="35">
        <f>'03-APU-NUEV UNC 2014'!K227</f>
        <v>112096.10866666665</v>
      </c>
      <c r="H30" s="35">
        <f>'03-APU-NUEV UNC 2014'!L227</f>
        <v>112096.10866666665</v>
      </c>
      <c r="I30" s="35">
        <f>'03-APU-NUEV UNC 2014'!J227</f>
        <v>112096.10866666665</v>
      </c>
      <c r="J30" s="35">
        <f>'03-APU-NUEV UNC 2014'!K227</f>
        <v>112096.10866666665</v>
      </c>
      <c r="K30" s="345">
        <f>'03-APU-NUEV UNC 2014'!L227</f>
        <v>112096.10866666665</v>
      </c>
    </row>
    <row r="31" spans="1:11">
      <c r="A31" s="919" t="s">
        <v>67</v>
      </c>
      <c r="B31" s="920"/>
      <c r="C31" s="35">
        <f>'03-APU-NUEV UNC 2014'!G228</f>
        <v>643274</v>
      </c>
      <c r="D31" s="35">
        <f>'03-APU-NUEV UNC 2014'!H228</f>
        <v>643274</v>
      </c>
      <c r="E31" s="35">
        <f>'03-APU-NUEV UNC 2014'!I228</f>
        <v>964911</v>
      </c>
      <c r="F31" s="35">
        <f>'03-APU-NUEV UNC 2014'!J228</f>
        <v>1286548</v>
      </c>
      <c r="G31" s="35">
        <f>'03-APU-NUEV UNC 2014'!K228</f>
        <v>1286548</v>
      </c>
      <c r="H31" s="35">
        <f>'03-APU-NUEV UNC 2014'!L228</f>
        <v>1286548</v>
      </c>
      <c r="I31" s="35">
        <f>'03-APU-NUEV UNC 2014'!J228</f>
        <v>1286548</v>
      </c>
      <c r="J31" s="35">
        <f>'03-APU-NUEV UNC 2014'!K228</f>
        <v>1286548</v>
      </c>
      <c r="K31" s="345">
        <f>'03-APU-NUEV UNC 2014'!L228</f>
        <v>1286548</v>
      </c>
    </row>
    <row r="32" spans="1:11">
      <c r="A32" s="919" t="s">
        <v>47</v>
      </c>
      <c r="B32" s="920"/>
      <c r="C32" s="35">
        <f>'03-APU-NUEV UNC 2014'!D229</f>
        <v>188506</v>
      </c>
      <c r="D32" s="35">
        <f>'03-APU-NUEV UNC 2014'!E229</f>
        <v>188506</v>
      </c>
      <c r="E32" s="35">
        <f>'03-APU-NUEV UNC 2014'!F229</f>
        <v>188506</v>
      </c>
      <c r="F32" s="35">
        <f>'03-APU-NUEV UNC 2014'!G229</f>
        <v>408576.75876240002</v>
      </c>
      <c r="G32" s="35">
        <f>'03-APU-NUEV UNC 2014'!H229</f>
        <v>672573.48968221399</v>
      </c>
      <c r="H32" s="35">
        <f>'03-APU-NUEV UNC 2014'!L229</f>
        <v>2945788.9830931202</v>
      </c>
      <c r="I32" s="35">
        <f>'03-APU-NUEV UNC 2014'!J229</f>
        <v>2680984.9830931202</v>
      </c>
      <c r="J32" s="35">
        <f>'03-APU-NUEV UNC 2014'!K229</f>
        <v>2813386.9830931202</v>
      </c>
      <c r="K32" s="345">
        <f>'03-APU-NUEV UNC 2014'!L229</f>
        <v>2945788.9830931202</v>
      </c>
    </row>
    <row r="33" spans="1:11">
      <c r="A33" s="919" t="s">
        <v>68</v>
      </c>
      <c r="B33" s="920"/>
      <c r="C33" s="35">
        <f>'03-APU-NUEV UNC 2014'!G230</f>
        <v>322273.05143896001</v>
      </c>
      <c r="D33" s="35">
        <f>'03-APU-NUEV UNC 2014'!H230</f>
        <v>322273.05143896001</v>
      </c>
      <c r="E33" s="35">
        <f>'03-APU-NUEV UNC 2014'!I230</f>
        <v>483409.57715844002</v>
      </c>
      <c r="F33" s="35">
        <f>'03-APU-NUEV UNC 2014'!J230</f>
        <v>644546.10287792003</v>
      </c>
      <c r="G33" s="35">
        <f>'03-APU-NUEV UNC 2014'!K230</f>
        <v>644546.10287792003</v>
      </c>
      <c r="H33" s="35">
        <f>'03-APU-NUEV UNC 2014'!L230</f>
        <v>644546.10287792003</v>
      </c>
      <c r="I33" s="35">
        <f>'03-APU-NUEV UNC 2014'!J230</f>
        <v>644546.10287792003</v>
      </c>
      <c r="J33" s="35">
        <f>'03-APU-NUEV UNC 2014'!K230</f>
        <v>644546.10287792003</v>
      </c>
      <c r="K33" s="345">
        <f>'03-APU-NUEV UNC 2014'!L230</f>
        <v>644546.10287792003</v>
      </c>
    </row>
    <row r="34" spans="1:11">
      <c r="A34" s="919" t="s">
        <v>49</v>
      </c>
      <c r="B34" s="920"/>
      <c r="C34" s="35">
        <f>'03-APU-NUEV UNC 2014'!D231</f>
        <v>597786.66666666663</v>
      </c>
      <c r="D34" s="35">
        <f>'03-APU-NUEV UNC 2014'!E231</f>
        <v>597786.66666666663</v>
      </c>
      <c r="E34" s="35">
        <f>'03-APU-NUEV UNC 2014'!F231</f>
        <v>597786.66666666663</v>
      </c>
      <c r="F34" s="35">
        <f>'03-APU-NUEV UNC 2014'!G231</f>
        <v>597786.66666666663</v>
      </c>
      <c r="G34" s="35">
        <f>'03-APU-NUEV UNC 2014'!H231</f>
        <v>597786.66666666663</v>
      </c>
      <c r="H34" s="35">
        <f>'03-APU-NUEV UNC 2014'!L231</f>
        <v>523160</v>
      </c>
      <c r="I34" s="35">
        <f>'03-APU-NUEV UNC 2014'!J231</f>
        <v>407160</v>
      </c>
      <c r="J34" s="35">
        <f>'03-APU-NUEV UNC 2014'!K231</f>
        <v>465160</v>
      </c>
      <c r="K34" s="345">
        <f>'03-APU-NUEV UNC 2014'!L231</f>
        <v>523160</v>
      </c>
    </row>
    <row r="35" spans="1:11">
      <c r="A35" s="919" t="s">
        <v>50</v>
      </c>
      <c r="B35" s="920"/>
      <c r="C35" s="35">
        <f>'03-APU-NUEV UNC 2014'!G232</f>
        <v>76000</v>
      </c>
      <c r="D35" s="35">
        <f>'03-APU-NUEV UNC 2014'!H232</f>
        <v>76000</v>
      </c>
      <c r="E35" s="35">
        <f>'03-APU-NUEV UNC 2014'!I232</f>
        <v>114000</v>
      </c>
      <c r="F35" s="35">
        <f>'03-APU-NUEV UNC 2014'!J232</f>
        <v>152000</v>
      </c>
      <c r="G35" s="35">
        <f>'03-APU-NUEV UNC 2014'!K232</f>
        <v>152000</v>
      </c>
      <c r="H35" s="35">
        <f>'03-APU-NUEV UNC 2014'!L232</f>
        <v>152000</v>
      </c>
      <c r="I35" s="35">
        <f>'03-APU-NUEV UNC 2014'!J232</f>
        <v>152000</v>
      </c>
      <c r="J35" s="35">
        <f>'03-APU-NUEV UNC 2014'!K232</f>
        <v>152000</v>
      </c>
      <c r="K35" s="345">
        <f>'03-APU-NUEV UNC 2014'!L232</f>
        <v>152000</v>
      </c>
    </row>
    <row r="36" spans="1:11">
      <c r="A36" s="919" t="s">
        <v>51</v>
      </c>
      <c r="B36" s="920"/>
      <c r="C36" s="35">
        <f>'03-APU-NUEV UNC 2014'!G233</f>
        <v>257333.33333333334</v>
      </c>
      <c r="D36" s="35">
        <f>'03-APU-NUEV UNC 2014'!H233</f>
        <v>273333.33333333331</v>
      </c>
      <c r="E36" s="35">
        <f>'03-APU-NUEV UNC 2014'!I233</f>
        <v>136666.66666666666</v>
      </c>
      <c r="F36" s="35">
        <f>'03-APU-NUEV UNC 2014'!J233</f>
        <v>136666.66666666666</v>
      </c>
      <c r="G36" s="35">
        <f>'03-APU-NUEV UNC 2014'!K233</f>
        <v>136666.66666666666</v>
      </c>
      <c r="H36" s="35">
        <f>'03-APU-NUEV UNC 2014'!L233</f>
        <v>136666.66666666666</v>
      </c>
      <c r="I36" s="35">
        <f>'03-APU-NUEV UNC 2014'!J233</f>
        <v>136666.66666666666</v>
      </c>
      <c r="J36" s="35">
        <f>'03-APU-NUEV UNC 2014'!K233</f>
        <v>136666.66666666666</v>
      </c>
      <c r="K36" s="345">
        <f>'03-APU-NUEV UNC 2014'!L233</f>
        <v>136666.66666666666</v>
      </c>
    </row>
    <row r="37" spans="1:11">
      <c r="A37" s="919" t="s">
        <v>69</v>
      </c>
      <c r="B37" s="920"/>
      <c r="C37" s="35">
        <f>'03-APU-NUEV UNC 2014'!G234</f>
        <v>206118.19571865443</v>
      </c>
      <c r="D37" s="35">
        <f>'03-APU-NUEV UNC 2014'!H234</f>
        <v>206118.19571865443</v>
      </c>
      <c r="E37" s="35">
        <f>'03-APU-NUEV UNC 2014'!I234</f>
        <v>206118.19571865443</v>
      </c>
      <c r="F37" s="35">
        <f>'03-APU-NUEV UNC 2014'!J234</f>
        <v>206118.19571865443</v>
      </c>
      <c r="G37" s="35">
        <f>'03-APU-NUEV UNC 2014'!K234</f>
        <v>206118.19571865443</v>
      </c>
      <c r="H37" s="35">
        <f>'03-APU-NUEV UNC 2014'!L234</f>
        <v>206118.19571865443</v>
      </c>
      <c r="I37" s="35">
        <f>'03-APU-NUEV UNC 2014'!J234</f>
        <v>206118.19571865443</v>
      </c>
      <c r="J37" s="35">
        <f>'03-APU-NUEV UNC 2014'!K234</f>
        <v>206118.19571865443</v>
      </c>
      <c r="K37" s="345">
        <f>'03-APU-NUEV UNC 2014'!L234</f>
        <v>206118.19571865443</v>
      </c>
    </row>
    <row r="38" spans="1:11" ht="29.25" customHeight="1">
      <c r="A38" s="699" t="s">
        <v>70</v>
      </c>
      <c r="B38" s="781"/>
      <c r="C38" s="35">
        <f>'03-APU-NUEV UNC 2014'!G235</f>
        <v>322273.05143896001</v>
      </c>
      <c r="D38" s="35">
        <f>'03-APU-NUEV UNC 2014'!H235</f>
        <v>322273.05143896001</v>
      </c>
      <c r="E38" s="35">
        <f>'03-APU-NUEV UNC 2014'!I235</f>
        <v>483409.57715844002</v>
      </c>
      <c r="F38" s="35">
        <f>'03-APU-NUEV UNC 2014'!J235</f>
        <v>644546.10287792003</v>
      </c>
      <c r="G38" s="35">
        <f>'03-APU-NUEV UNC 2014'!K235</f>
        <v>644546.10287792003</v>
      </c>
      <c r="H38" s="35">
        <f>'03-APU-NUEV UNC 2014'!L235</f>
        <v>644546.10287792003</v>
      </c>
      <c r="I38" s="35">
        <f>'03-APU-NUEV UNC 2014'!J235</f>
        <v>644546.10287792003</v>
      </c>
      <c r="J38" s="35">
        <f>'03-APU-NUEV UNC 2014'!K235</f>
        <v>644546.10287792003</v>
      </c>
      <c r="K38" s="345">
        <f>'03-APU-NUEV UNC 2014'!L235</f>
        <v>644546.10287792003</v>
      </c>
    </row>
    <row r="39" spans="1:11">
      <c r="A39" s="917"/>
      <c r="B39" s="918"/>
      <c r="C39" s="1"/>
      <c r="D39" s="1"/>
      <c r="E39" s="1"/>
      <c r="F39" s="1"/>
      <c r="G39" s="1"/>
      <c r="H39" s="1"/>
      <c r="I39" s="1"/>
      <c r="J39" s="1"/>
      <c r="K39" s="7"/>
    </row>
    <row r="40" spans="1:11">
      <c r="A40" s="913" t="s">
        <v>43</v>
      </c>
      <c r="B40" s="914"/>
      <c r="C40" s="104">
        <f>SUM(C28,C29,C30,C31,C32,C33,C34,C35,C36,C37,C38)</f>
        <v>2738160.4072632408</v>
      </c>
      <c r="D40" s="104">
        <f>SUM(D28,D29,D30,D31,D32,D33,D34,D35,D36,D37,D38)</f>
        <v>2754160.4072632408</v>
      </c>
      <c r="E40" s="104">
        <f>SUM(E29:E38)</f>
        <v>3299403.792035534</v>
      </c>
      <c r="F40" s="104">
        <f t="shared" ref="F40:H40" si="2">SUM(F28,F29,F30,F31,F32,F33,F34,F35,F36,F37,F38)</f>
        <v>4201384.602236894</v>
      </c>
      <c r="G40" s="104">
        <f t="shared" si="2"/>
        <v>4465381.3331567086</v>
      </c>
      <c r="H40" s="104">
        <f t="shared" si="2"/>
        <v>6663970.1599009484</v>
      </c>
      <c r="I40" s="104">
        <f>SUM(I29:I38)</f>
        <v>6283166.1599009484</v>
      </c>
      <c r="J40" s="104">
        <f>SUM(J29:J38)</f>
        <v>6473568.1599009484</v>
      </c>
      <c r="K40" s="524">
        <f>SUM(K29:K38)</f>
        <v>6663970.1599009484</v>
      </c>
    </row>
    <row r="41" spans="1:11">
      <c r="A41" s="911"/>
      <c r="B41" s="912"/>
      <c r="C41" s="66"/>
      <c r="D41" s="66"/>
      <c r="E41" s="66"/>
      <c r="F41" s="66"/>
      <c r="G41" s="66"/>
      <c r="H41" s="66"/>
      <c r="I41" s="2"/>
      <c r="J41" s="2"/>
      <c r="K41" s="34"/>
    </row>
    <row r="42" spans="1:11">
      <c r="A42" s="922" t="s">
        <v>54</v>
      </c>
      <c r="B42" s="923"/>
      <c r="C42" s="66"/>
      <c r="D42" s="66"/>
      <c r="E42" s="66"/>
      <c r="F42" s="66"/>
      <c r="G42" s="66"/>
      <c r="H42" s="66"/>
      <c r="I42" s="66"/>
      <c r="J42" s="66"/>
      <c r="K42" s="525"/>
    </row>
    <row r="43" spans="1:11">
      <c r="A43" s="921" t="s">
        <v>71</v>
      </c>
      <c r="B43" s="657"/>
      <c r="C43" s="35">
        <f>'03-APU-NUEV UNC 2014'!D13</f>
        <v>1306350.2762524625</v>
      </c>
      <c r="D43" s="35">
        <f>'03-APU-NUEV UNC 2014'!E13</f>
        <v>1306350.2762524625</v>
      </c>
      <c r="E43" s="35">
        <f>'03-APU-NUEV UNC 2014'!F13</f>
        <v>1306350.2762524625</v>
      </c>
      <c r="F43" s="35">
        <f>'03-APU-NUEV UNC 2014'!G13</f>
        <v>1306350.2762524625</v>
      </c>
      <c r="G43" s="35">
        <f>'03-APU-NUEV UNC 2014'!H13</f>
        <v>1306350.2762524625</v>
      </c>
      <c r="H43" s="35">
        <f>'03-APU-NUEV UNC 2014'!I13</f>
        <v>1959525.414378694</v>
      </c>
      <c r="I43" s="35">
        <f>'03-APU-NUEV UNC 2014'!J13</f>
        <v>2536271.3875049255</v>
      </c>
      <c r="J43" s="35">
        <f>'03-APU-NUEV UNC 2014'!K13</f>
        <v>2536271.3875049255</v>
      </c>
      <c r="K43" s="345">
        <f>'03-APU-NUEV UNC 2014'!L13</f>
        <v>2536271.3875049255</v>
      </c>
    </row>
    <row r="44" spans="1:11">
      <c r="A44" s="911"/>
      <c r="B44" s="912"/>
      <c r="C44" s="66"/>
      <c r="D44" s="66"/>
      <c r="E44" s="66"/>
      <c r="F44" s="66"/>
      <c r="G44" s="66"/>
      <c r="H44" s="66"/>
      <c r="I44" s="66"/>
      <c r="J44" s="66"/>
      <c r="K44" s="525"/>
    </row>
    <row r="45" spans="1:11">
      <c r="A45" s="913" t="s">
        <v>12</v>
      </c>
      <c r="B45" s="914"/>
      <c r="C45" s="104">
        <f>C43</f>
        <v>1306350.2762524625</v>
      </c>
      <c r="D45" s="104">
        <f t="shared" ref="D45:H45" si="3">D43</f>
        <v>1306350.2762524625</v>
      </c>
      <c r="E45" s="104">
        <f t="shared" si="3"/>
        <v>1306350.2762524625</v>
      </c>
      <c r="F45" s="104">
        <f t="shared" si="3"/>
        <v>1306350.2762524625</v>
      </c>
      <c r="G45" s="104">
        <f t="shared" si="3"/>
        <v>1306350.2762524625</v>
      </c>
      <c r="H45" s="104">
        <f t="shared" si="3"/>
        <v>1959525.414378694</v>
      </c>
      <c r="I45" s="105">
        <f>I43</f>
        <v>2536271.3875049255</v>
      </c>
      <c r="J45" s="105">
        <f>J43</f>
        <v>2536271.3875049255</v>
      </c>
      <c r="K45" s="524">
        <f>K43</f>
        <v>2536271.3875049255</v>
      </c>
    </row>
    <row r="46" spans="1:11">
      <c r="A46" s="911"/>
      <c r="B46" s="912"/>
      <c r="C46" s="66"/>
      <c r="D46" s="66"/>
      <c r="E46" s="66"/>
      <c r="F46" s="66"/>
      <c r="G46" s="66"/>
      <c r="H46" s="66"/>
      <c r="I46" s="66"/>
      <c r="J46" s="66"/>
      <c r="K46" s="525"/>
    </row>
    <row r="47" spans="1:11">
      <c r="A47" s="922" t="s">
        <v>55</v>
      </c>
      <c r="B47" s="923"/>
      <c r="C47" s="35"/>
      <c r="D47" s="35"/>
      <c r="E47" s="35"/>
      <c r="F47" s="35"/>
      <c r="G47" s="35"/>
      <c r="H47" s="35"/>
      <c r="I47" s="35"/>
      <c r="J47" s="35"/>
      <c r="K47" s="345"/>
    </row>
    <row r="48" spans="1:11">
      <c r="A48" s="921" t="s">
        <v>56</v>
      </c>
      <c r="B48" s="657"/>
      <c r="C48" s="35">
        <f>'03-APU-NUEV UNC 2014'!G219</f>
        <v>79304.433856434829</v>
      </c>
      <c r="D48" s="35">
        <f>'03-APU-NUEV UNC 2014'!H219</f>
        <v>198261.75775074653</v>
      </c>
      <c r="E48" s="35">
        <f>'03-APU-NUEV UNC 2014'!I219</f>
        <v>198261.75775074653</v>
      </c>
      <c r="F48" s="35">
        <f>'03-APU-NUEV UNC 2014'!J219</f>
        <v>198261.75775074653</v>
      </c>
      <c r="G48" s="35">
        <f>'03-APU-NUEV UNC 2014'!K219</f>
        <v>198261.75775074653</v>
      </c>
      <c r="H48" s="35">
        <f>'03-APU-NUEV UNC 2014'!L219</f>
        <v>198261.75775074653</v>
      </c>
      <c r="I48" s="35">
        <f>'03-APU-NUEV UNC 2014'!J219</f>
        <v>198261.75775074653</v>
      </c>
      <c r="J48" s="35">
        <f>'03-APU-NUEV UNC 2014'!K219</f>
        <v>198261.75775074653</v>
      </c>
      <c r="K48" s="345">
        <f>'03-APU-NUEV UNC 2014'!L219</f>
        <v>198261.75775074653</v>
      </c>
    </row>
    <row r="49" spans="1:11">
      <c r="A49" s="911"/>
      <c r="B49" s="912"/>
      <c r="C49" s="66"/>
      <c r="D49" s="66"/>
      <c r="E49" s="66"/>
      <c r="F49" s="66"/>
      <c r="G49" s="66"/>
      <c r="H49" s="66"/>
      <c r="I49" s="66"/>
      <c r="J49" s="66"/>
      <c r="K49" s="525"/>
    </row>
    <row r="50" spans="1:11">
      <c r="A50" s="913" t="s">
        <v>43</v>
      </c>
      <c r="B50" s="914"/>
      <c r="C50" s="104">
        <f>C48</f>
        <v>79304.433856434829</v>
      </c>
      <c r="D50" s="104">
        <f t="shared" ref="D50:H50" si="4">D48</f>
        <v>198261.75775074653</v>
      </c>
      <c r="E50" s="104">
        <f t="shared" si="4"/>
        <v>198261.75775074653</v>
      </c>
      <c r="F50" s="104">
        <f t="shared" si="4"/>
        <v>198261.75775074653</v>
      </c>
      <c r="G50" s="104">
        <f t="shared" si="4"/>
        <v>198261.75775074653</v>
      </c>
      <c r="H50" s="104">
        <f t="shared" si="4"/>
        <v>198261.75775074653</v>
      </c>
      <c r="I50" s="104">
        <f>I48</f>
        <v>198261.75775074653</v>
      </c>
      <c r="J50" s="104">
        <f>J48</f>
        <v>198261.75775074653</v>
      </c>
      <c r="K50" s="526">
        <f>K48</f>
        <v>198261.75775074653</v>
      </c>
    </row>
    <row r="51" spans="1:11">
      <c r="A51" s="917"/>
      <c r="B51" s="918"/>
      <c r="C51" s="1"/>
      <c r="D51" s="1"/>
      <c r="E51" s="1"/>
      <c r="F51" s="1"/>
      <c r="G51" s="1"/>
      <c r="H51" s="1"/>
      <c r="I51" s="1"/>
      <c r="J51" s="1"/>
      <c r="K51" s="7"/>
    </row>
    <row r="52" spans="1:11">
      <c r="A52" s="922" t="s">
        <v>57</v>
      </c>
      <c r="B52" s="923"/>
      <c r="C52" s="66"/>
      <c r="D52" s="66"/>
      <c r="E52" s="66"/>
      <c r="F52" s="66"/>
      <c r="G52" s="66"/>
      <c r="H52" s="66"/>
      <c r="I52" s="66"/>
      <c r="J52" s="66"/>
      <c r="K52" s="525"/>
    </row>
    <row r="53" spans="1:11" s="5" customFormat="1">
      <c r="A53" s="919" t="s">
        <v>415</v>
      </c>
      <c r="B53" s="920"/>
      <c r="C53" s="223">
        <f>'03-APU-NUEV UNC 2014'!D203</f>
        <v>0</v>
      </c>
      <c r="D53" s="223">
        <f>'03-APU-NUEV UNC 2014'!E203</f>
        <v>0</v>
      </c>
      <c r="E53" s="223">
        <f>'03-APU-NUEV UNC 2014'!F203</f>
        <v>14714969</v>
      </c>
      <c r="F53" s="223">
        <f>'03-APU-NUEV UNC 2014'!G203</f>
        <v>16478335</v>
      </c>
      <c r="G53" s="223">
        <f>'03-APU-NUEV UNC 2014'!H203</f>
        <v>21924400</v>
      </c>
      <c r="H53" s="223">
        <f>'03-APU-NUEV UNC 2014'!I203</f>
        <v>24877630</v>
      </c>
      <c r="I53" s="223">
        <f>'03-APU-NUEV UNC 2014'!J203</f>
        <v>45913614</v>
      </c>
      <c r="J53" s="223">
        <f>'03-APU-NUEV UNC 2014'!K203</f>
        <v>66949598</v>
      </c>
      <c r="K53" s="235">
        <f>'03-APU-NUEV UNC 2014'!L203</f>
        <v>87985582</v>
      </c>
    </row>
    <row r="54" spans="1:11">
      <c r="A54" s="921" t="s">
        <v>61</v>
      </c>
      <c r="B54" s="657"/>
      <c r="C54" s="35">
        <f>'03-APU-NUEV UNC 2014'!G365</f>
        <v>2917600.5499588801</v>
      </c>
      <c r="D54" s="35">
        <f>'03-APU-NUEV UNC 2014'!H365</f>
        <v>2755051.2982996223</v>
      </c>
      <c r="E54" s="35">
        <f>'03-APU-NUEV UNC 2014'!I365</f>
        <v>3243529.6705971505</v>
      </c>
      <c r="F54" s="35">
        <f>'03-APU-NUEV UNC 2014'!J365</f>
        <v>3342085.0407136986</v>
      </c>
      <c r="G54" s="35">
        <f>'03-APU-NUEV UNC 2014'!K365</f>
        <v>3400274.0245533586</v>
      </c>
      <c r="H54" s="35">
        <f>'03-APU-NUEV UNC 2014'!L365</f>
        <v>3856677.3753590365</v>
      </c>
      <c r="I54" s="35">
        <f>'03-APU-NUEV UNC 2014'!J365</f>
        <v>3342085.0407136986</v>
      </c>
      <c r="J54" s="35">
        <f>'03-APU-NUEV UNC 2014'!K365</f>
        <v>3400274.0245533586</v>
      </c>
      <c r="K54" s="345">
        <f>'03-APU-NUEV UNC 2014'!L365</f>
        <v>3856677.3753590365</v>
      </c>
    </row>
    <row r="55" spans="1:11">
      <c r="A55" s="917"/>
      <c r="B55" s="918"/>
      <c r="C55" s="1"/>
      <c r="D55" s="1"/>
      <c r="E55" s="1"/>
      <c r="F55" s="1"/>
      <c r="G55" s="1"/>
      <c r="H55" s="1"/>
      <c r="I55" s="1"/>
      <c r="J55" s="1"/>
      <c r="K55" s="7"/>
    </row>
    <row r="56" spans="1:11">
      <c r="A56" s="913" t="s">
        <v>12</v>
      </c>
      <c r="B56" s="914"/>
      <c r="C56" s="104">
        <f>SUM(C53:C55)</f>
        <v>2917600.5499588801</v>
      </c>
      <c r="D56" s="104">
        <f t="shared" ref="D56:H56" si="5">SUM(D53:D55)</f>
        <v>2755051.2982996223</v>
      </c>
      <c r="E56" s="104">
        <f t="shared" si="5"/>
        <v>17958498.670597151</v>
      </c>
      <c r="F56" s="104">
        <f t="shared" si="5"/>
        <v>19820420.040713698</v>
      </c>
      <c r="G56" s="104">
        <f t="shared" si="5"/>
        <v>25324674.024553359</v>
      </c>
      <c r="H56" s="104">
        <f t="shared" si="5"/>
        <v>28734307.375359036</v>
      </c>
      <c r="I56" s="104">
        <f>SUM(I53,I54)</f>
        <v>49255699.040713698</v>
      </c>
      <c r="J56" s="104">
        <f>SUM(J53,J54)</f>
        <v>70349872.024553359</v>
      </c>
      <c r="K56" s="526">
        <f>SUM(K53,K54)</f>
        <v>91842259.375359043</v>
      </c>
    </row>
    <row r="57" spans="1:11" ht="15.75" thickBot="1">
      <c r="A57" s="924"/>
      <c r="B57" s="925"/>
      <c r="C57" s="4"/>
      <c r="D57" s="4"/>
      <c r="E57" s="4"/>
      <c r="F57" s="4"/>
      <c r="G57" s="4"/>
      <c r="H57" s="4"/>
      <c r="I57" s="4"/>
      <c r="J57" s="4"/>
      <c r="K57" s="137"/>
    </row>
    <row r="58" spans="1:11" ht="15.75" thickTop="1">
      <c r="A58" s="971" t="s">
        <v>437</v>
      </c>
      <c r="B58" s="972"/>
      <c r="C58" s="533">
        <f t="shared" ref="C58:J58" si="6">SUM(C56,C50,C45,C40,C26)</f>
        <v>12007340.135645978</v>
      </c>
      <c r="D58" s="533">
        <f t="shared" si="6"/>
        <v>11979748.207881033</v>
      </c>
      <c r="E58" s="533">
        <f t="shared" si="6"/>
        <v>27728438.964950856</v>
      </c>
      <c r="F58" s="533">
        <f t="shared" si="6"/>
        <v>32186680.533167213</v>
      </c>
      <c r="G58" s="533">
        <f t="shared" si="6"/>
        <v>37954931.24792669</v>
      </c>
      <c r="H58" s="533">
        <f t="shared" si="6"/>
        <v>44216328.563602842</v>
      </c>
      <c r="I58" s="533">
        <f t="shared" si="6"/>
        <v>65756441.535417065</v>
      </c>
      <c r="J58" s="533">
        <f t="shared" si="6"/>
        <v>87076433.185923383</v>
      </c>
      <c r="K58" s="534">
        <f>SUM(K56,K50,K45,K40,K27,K26,K27)</f>
        <v>108794639.20339574</v>
      </c>
    </row>
    <row r="59" spans="1:11">
      <c r="A59" s="915"/>
      <c r="B59" s="916"/>
      <c r="C59" s="512"/>
      <c r="D59" s="512"/>
      <c r="E59" s="512"/>
      <c r="F59" s="512"/>
      <c r="G59" s="512"/>
      <c r="H59" s="512"/>
      <c r="I59" s="594"/>
      <c r="J59" s="594"/>
      <c r="K59" s="595"/>
    </row>
    <row r="60" spans="1:11">
      <c r="A60" s="932" t="s">
        <v>59</v>
      </c>
      <c r="B60" s="933"/>
      <c r="C60" s="516">
        <f>'05-ED-2014'!C14</f>
        <v>8889254.2342970259</v>
      </c>
      <c r="D60" s="516">
        <f>'05-ED-2014'!D14</f>
        <v>17059376.779751569</v>
      </c>
      <c r="E60" s="516">
        <f>'05-ED-2014'!E14</f>
        <v>17067879.57975157</v>
      </c>
      <c r="F60" s="516">
        <f>'05-ED-2014'!G14</f>
        <v>18664701.416697025</v>
      </c>
      <c r="G60" s="516">
        <f>'05-ED-2014'!G14</f>
        <v>18664701.416697025</v>
      </c>
      <c r="H60" s="516">
        <f>'05-ED-2014'!H14</f>
        <v>19598678.339897022</v>
      </c>
      <c r="I60" s="516">
        <f>'05-ED-2014'!I14</f>
        <v>47227182.07456369</v>
      </c>
      <c r="J60" s="516">
        <f>'05-ED-2014'!J14</f>
        <v>47268265.407897025</v>
      </c>
      <c r="K60" s="529">
        <f>'05-ED-2014'!K14</f>
        <v>47309348.741230361</v>
      </c>
    </row>
    <row r="61" spans="1:11">
      <c r="A61" s="915"/>
      <c r="B61" s="916"/>
      <c r="C61" s="512"/>
      <c r="D61" s="512"/>
      <c r="E61" s="512"/>
      <c r="F61" s="512"/>
      <c r="G61" s="512"/>
      <c r="H61" s="512"/>
      <c r="I61" s="512"/>
      <c r="J61" s="512"/>
      <c r="K61" s="510"/>
    </row>
    <row r="62" spans="1:11">
      <c r="A62" s="125" t="s">
        <v>214</v>
      </c>
      <c r="B62" s="123">
        <v>0.1</v>
      </c>
      <c r="C62" s="519">
        <f>SUM(C58,C60)*B62</f>
        <v>2089659.4369943005</v>
      </c>
      <c r="D62" s="519">
        <f>SUM(D58,D60)*B62</f>
        <v>2903912.4987632604</v>
      </c>
      <c r="E62" s="519">
        <f>SUM(E58,E60)*B62</f>
        <v>4479631.8544702427</v>
      </c>
      <c r="F62" s="519">
        <f>SUM(F58,F60)*B62</f>
        <v>5085138.1949864244</v>
      </c>
      <c r="G62" s="519">
        <f>SUM(G58,G60)*B62</f>
        <v>5661963.2664623717</v>
      </c>
      <c r="H62" s="519">
        <f>SUM(H58,H60)*B62</f>
        <v>6381500.6903499868</v>
      </c>
      <c r="I62" s="596">
        <f>SUM(I58,I60)*B62</f>
        <v>11298362.360998077</v>
      </c>
      <c r="J62" s="596">
        <f>SUM(J58,J60)*B62</f>
        <v>13434469.859382041</v>
      </c>
      <c r="K62" s="597">
        <f>SUM(K58,K60)*B62</f>
        <v>15610398.79446261</v>
      </c>
    </row>
    <row r="63" spans="1:11">
      <c r="A63" s="125" t="s">
        <v>268</v>
      </c>
      <c r="B63" s="123">
        <v>0.1</v>
      </c>
      <c r="C63" s="519">
        <f>SUM(C58,C60)*B63</f>
        <v>2089659.4369943005</v>
      </c>
      <c r="D63" s="519">
        <f>SUM(D58,D60)*B63</f>
        <v>2903912.4987632604</v>
      </c>
      <c r="E63" s="519">
        <f>SUM(E58,E60)*B63</f>
        <v>4479631.8544702427</v>
      </c>
      <c r="F63" s="519">
        <f>SUM(F58,F60)*B63</f>
        <v>5085138.1949864244</v>
      </c>
      <c r="G63" s="519">
        <f>SUM(G58,G60)*B63</f>
        <v>5661963.2664623717</v>
      </c>
      <c r="H63" s="519">
        <f>SUM(H58,H60)*B63</f>
        <v>6381500.6903499868</v>
      </c>
      <c r="I63" s="511">
        <f>SUM(I60)*B63</f>
        <v>4722718.207456369</v>
      </c>
      <c r="J63" s="511">
        <f>SUM(J58,J60)*B63</f>
        <v>13434469.859382041</v>
      </c>
      <c r="K63" s="530">
        <f>SUM(K58,K60)*B63</f>
        <v>15610398.79446261</v>
      </c>
    </row>
    <row r="64" spans="1:11">
      <c r="A64" s="125" t="s">
        <v>269</v>
      </c>
      <c r="B64" s="123">
        <v>0.05</v>
      </c>
      <c r="C64" s="519">
        <f>SUM(C58,C60)*B64</f>
        <v>1044829.7184971502</v>
      </c>
      <c r="D64" s="519">
        <f>SUM(D58,D60)*B64</f>
        <v>1451956.2493816302</v>
      </c>
      <c r="E64" s="519">
        <f>SUM(E58,E60)*B64</f>
        <v>2239815.9272351214</v>
      </c>
      <c r="F64" s="519">
        <f>SUM(F58,F60)*B64</f>
        <v>2542569.0974932122</v>
      </c>
      <c r="G64" s="519">
        <f>SUM(G58,G60)*B64</f>
        <v>2830981.6332311858</v>
      </c>
      <c r="H64" s="519">
        <f>SUM(H58,H60)*B64</f>
        <v>3190750.3451749934</v>
      </c>
      <c r="I64" s="511">
        <f>SUM(I60)*B64</f>
        <v>2361359.1037281845</v>
      </c>
      <c r="J64" s="511">
        <f>SUM(J58,J60)*B64</f>
        <v>6717234.9296910204</v>
      </c>
      <c r="K64" s="530">
        <f>SUM(K60)*B64</f>
        <v>2365467.437061518</v>
      </c>
    </row>
    <row r="65" spans="1:11">
      <c r="A65" s="125" t="s">
        <v>274</v>
      </c>
      <c r="B65" s="123">
        <v>0.16</v>
      </c>
      <c r="C65" s="519">
        <f>C64*B65</f>
        <v>167172.75495954405</v>
      </c>
      <c r="D65" s="519">
        <f>D64*B65</f>
        <v>232312.99990106083</v>
      </c>
      <c r="E65" s="519">
        <f>E64*B65</f>
        <v>358370.54835761944</v>
      </c>
      <c r="F65" s="519">
        <f>F64*B65</f>
        <v>406811.05559891398</v>
      </c>
      <c r="G65" s="519">
        <f>G64*B65</f>
        <v>452957.06131698977</v>
      </c>
      <c r="H65" s="519">
        <f>H64*B65</f>
        <v>510520.05522799894</v>
      </c>
      <c r="I65" s="511">
        <f>I64*B65</f>
        <v>377817.4565965095</v>
      </c>
      <c r="J65" s="511">
        <f>J64*B65</f>
        <v>1074757.5887505633</v>
      </c>
      <c r="K65" s="530">
        <f>K64*B65</f>
        <v>378474.78992984287</v>
      </c>
    </row>
    <row r="66" spans="1:11" ht="15.75" thickBot="1">
      <c r="A66" s="969"/>
      <c r="B66" s="970"/>
      <c r="C66" s="517"/>
      <c r="D66" s="517"/>
      <c r="E66" s="517"/>
      <c r="F66" s="517"/>
      <c r="G66" s="517"/>
      <c r="H66" s="517"/>
      <c r="I66" s="541"/>
      <c r="J66" s="541"/>
      <c r="K66" s="542"/>
    </row>
    <row r="67" spans="1:11" ht="24" customHeight="1" thickBot="1">
      <c r="A67" s="930" t="s">
        <v>422</v>
      </c>
      <c r="B67" s="968"/>
      <c r="C67" s="600">
        <f>SUM(C58,C60,C62:C65)</f>
        <v>26287915.717388295</v>
      </c>
      <c r="D67" s="543">
        <f>SUM(D58,D60,D62:D65)</f>
        <v>36531219.234441817</v>
      </c>
      <c r="E67" s="543">
        <f t="shared" ref="E67:K67" si="7">SUM(E58,E60,E62:E65)</f>
        <v>56353768.729235657</v>
      </c>
      <c r="F67" s="543">
        <f t="shared" si="7"/>
        <v>63971038.492929213</v>
      </c>
      <c r="G67" s="543">
        <f t="shared" si="7"/>
        <v>71227497.892096654</v>
      </c>
      <c r="H67" s="543">
        <f t="shared" si="7"/>
        <v>80279278.684602827</v>
      </c>
      <c r="I67" s="601">
        <f t="shared" si="7"/>
        <v>131743880.73875991</v>
      </c>
      <c r="J67" s="601">
        <f t="shared" si="7"/>
        <v>169005630.83102605</v>
      </c>
      <c r="K67" s="602">
        <f t="shared" si="7"/>
        <v>190068727.76054269</v>
      </c>
    </row>
    <row r="70" spans="1:11">
      <c r="I70" s="138"/>
    </row>
    <row r="71" spans="1:11">
      <c r="I71" s="138"/>
    </row>
    <row r="72" spans="1:11">
      <c r="I72" s="138"/>
    </row>
    <row r="73" spans="1:11">
      <c r="I73" s="138"/>
    </row>
    <row r="74" spans="1:11">
      <c r="I74" s="138"/>
    </row>
  </sheetData>
  <mergeCells count="64">
    <mergeCell ref="A17:B17"/>
    <mergeCell ref="A8:B8"/>
    <mergeCell ref="A10:B10"/>
    <mergeCell ref="A11:B11"/>
    <mergeCell ref="A7:B7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3:B53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4:B54"/>
    <mergeCell ref="A55:B55"/>
    <mergeCell ref="A56:B56"/>
    <mergeCell ref="A57:B57"/>
    <mergeCell ref="A58:B58"/>
    <mergeCell ref="A67:B67"/>
    <mergeCell ref="A66:B66"/>
    <mergeCell ref="A61:B61"/>
    <mergeCell ref="A60:B60"/>
    <mergeCell ref="A59:B59"/>
    <mergeCell ref="C3:I3"/>
    <mergeCell ref="C1:I2"/>
    <mergeCell ref="A4:B6"/>
    <mergeCell ref="C4:I6"/>
    <mergeCell ref="J1:K1"/>
    <mergeCell ref="J2:K2"/>
    <mergeCell ref="J3:K3"/>
    <mergeCell ref="A1:B3"/>
  </mergeCells>
  <pageMargins left="0.7" right="0.7" top="0.75" bottom="0.75" header="0.3" footer="0.3"/>
  <pageSetup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74"/>
  <sheetViews>
    <sheetView zoomScale="75" zoomScaleNormal="75" workbookViewId="0">
      <pane ySplit="7" topLeftCell="A43" activePane="bottomLeft" state="frozen"/>
      <selection pane="bottomLeft" activeCell="A59" sqref="A59:B59"/>
    </sheetView>
  </sheetViews>
  <sheetFormatPr baseColWidth="10" defaultRowHeight="15"/>
  <cols>
    <col min="1" max="1" width="28.85546875" style="28" customWidth="1"/>
    <col min="2" max="2" width="26" style="28" customWidth="1"/>
    <col min="3" max="11" width="18.7109375" style="28" customWidth="1"/>
    <col min="12" max="16384" width="11.42578125" style="28"/>
  </cols>
  <sheetData>
    <row r="1" spans="1:11" ht="21" customHeight="1">
      <c r="A1" s="962" t="s">
        <v>97</v>
      </c>
      <c r="B1" s="963"/>
      <c r="C1" s="940" t="s">
        <v>412</v>
      </c>
      <c r="D1" s="894"/>
      <c r="E1" s="894"/>
      <c r="F1" s="894"/>
      <c r="G1" s="894"/>
      <c r="H1" s="894"/>
      <c r="I1" s="941"/>
      <c r="J1" s="956" t="s">
        <v>424</v>
      </c>
      <c r="K1" s="957"/>
    </row>
    <row r="2" spans="1:11" ht="24" customHeight="1">
      <c r="A2" s="964"/>
      <c r="B2" s="965"/>
      <c r="C2" s="942"/>
      <c r="D2" s="896"/>
      <c r="E2" s="896"/>
      <c r="F2" s="896"/>
      <c r="G2" s="896"/>
      <c r="H2" s="896"/>
      <c r="I2" s="943"/>
      <c r="J2" s="958" t="s">
        <v>95</v>
      </c>
      <c r="K2" s="959"/>
    </row>
    <row r="3" spans="1:11" ht="24" customHeight="1" thickBot="1">
      <c r="A3" s="966"/>
      <c r="B3" s="967"/>
      <c r="C3" s="938" t="s">
        <v>425</v>
      </c>
      <c r="D3" s="890"/>
      <c r="E3" s="890"/>
      <c r="F3" s="890"/>
      <c r="G3" s="890"/>
      <c r="H3" s="890"/>
      <c r="I3" s="939"/>
      <c r="J3" s="960">
        <v>41962</v>
      </c>
      <c r="K3" s="961"/>
    </row>
    <row r="4" spans="1:11" ht="15" customHeight="1">
      <c r="A4" s="944" t="s">
        <v>426</v>
      </c>
      <c r="B4" s="945"/>
      <c r="C4" s="975"/>
      <c r="D4" s="976"/>
      <c r="E4" s="976"/>
      <c r="F4" s="976"/>
      <c r="G4" s="976"/>
      <c r="H4" s="976"/>
      <c r="I4" s="976"/>
      <c r="J4" s="559"/>
      <c r="K4" s="560"/>
    </row>
    <row r="5" spans="1:11" ht="15" customHeight="1">
      <c r="A5" s="946"/>
      <c r="B5" s="947"/>
      <c r="C5" s="977"/>
      <c r="D5" s="978"/>
      <c r="E5" s="978"/>
      <c r="F5" s="978"/>
      <c r="G5" s="978"/>
      <c r="H5" s="978"/>
      <c r="I5" s="978"/>
      <c r="J5" s="561"/>
      <c r="K5" s="562"/>
    </row>
    <row r="6" spans="1:11" ht="15.75" thickBot="1">
      <c r="A6" s="948"/>
      <c r="B6" s="949"/>
      <c r="C6" s="979"/>
      <c r="D6" s="980"/>
      <c r="E6" s="980"/>
      <c r="F6" s="980"/>
      <c r="G6" s="980"/>
      <c r="H6" s="980"/>
      <c r="I6" s="980"/>
      <c r="J6" s="563"/>
      <c r="K6" s="564"/>
    </row>
    <row r="7" spans="1:11">
      <c r="A7" s="934" t="s">
        <v>62</v>
      </c>
      <c r="B7" s="935"/>
      <c r="C7" s="514" t="s">
        <v>0</v>
      </c>
      <c r="D7" s="514" t="s">
        <v>1</v>
      </c>
      <c r="E7" s="514" t="s">
        <v>2</v>
      </c>
      <c r="F7" s="514" t="s">
        <v>3</v>
      </c>
      <c r="G7" s="514" t="s">
        <v>4</v>
      </c>
      <c r="H7" s="514" t="s">
        <v>5</v>
      </c>
      <c r="I7" s="514" t="s">
        <v>6</v>
      </c>
      <c r="J7" s="514" t="s">
        <v>7</v>
      </c>
      <c r="K7" s="521" t="s">
        <v>8</v>
      </c>
    </row>
    <row r="8" spans="1:11">
      <c r="A8" s="915"/>
      <c r="B8" s="916"/>
      <c r="C8" s="66"/>
      <c r="D8" s="66"/>
      <c r="E8" s="66"/>
      <c r="F8" s="1"/>
      <c r="G8" s="1"/>
      <c r="H8" s="1"/>
      <c r="I8" s="1"/>
      <c r="J8" s="1"/>
      <c r="K8" s="7"/>
    </row>
    <row r="9" spans="1:11">
      <c r="A9" s="522" t="s">
        <v>32</v>
      </c>
      <c r="B9" s="106"/>
      <c r="C9" s="66"/>
      <c r="D9" s="66"/>
      <c r="E9" s="66"/>
      <c r="F9" s="1"/>
      <c r="G9" s="1"/>
      <c r="H9" s="1"/>
      <c r="I9" s="1"/>
      <c r="J9" s="1"/>
      <c r="K9" s="7"/>
    </row>
    <row r="10" spans="1:11">
      <c r="A10" s="911"/>
      <c r="B10" s="912"/>
      <c r="C10" s="66"/>
      <c r="D10" s="66"/>
      <c r="E10" s="66"/>
      <c r="F10" s="1"/>
      <c r="G10" s="1"/>
      <c r="H10" s="1"/>
      <c r="I10" s="1"/>
      <c r="J10" s="1"/>
      <c r="K10" s="7"/>
    </row>
    <row r="11" spans="1:11">
      <c r="A11" s="922" t="s">
        <v>33</v>
      </c>
      <c r="B11" s="923"/>
      <c r="C11" s="66"/>
      <c r="D11" s="66"/>
      <c r="E11" s="66"/>
      <c r="F11" s="1"/>
      <c r="G11" s="1"/>
      <c r="H11" s="1"/>
      <c r="I11" s="1"/>
      <c r="J11" s="1"/>
      <c r="K11" s="7"/>
    </row>
    <row r="12" spans="1:11">
      <c r="A12" s="921"/>
      <c r="B12" s="657"/>
      <c r="C12" s="66"/>
      <c r="D12" s="66"/>
      <c r="E12" s="66"/>
      <c r="F12" s="1"/>
      <c r="G12" s="1"/>
      <c r="H12" s="1"/>
      <c r="I12" s="1"/>
      <c r="J12" s="1"/>
      <c r="K12" s="7"/>
    </row>
    <row r="13" spans="1:11">
      <c r="A13" s="922" t="s">
        <v>34</v>
      </c>
      <c r="B13" s="923"/>
      <c r="C13" s="66"/>
      <c r="D13" s="66"/>
      <c r="E13" s="66"/>
      <c r="F13" s="1"/>
      <c r="G13" s="1"/>
      <c r="H13" s="1"/>
      <c r="I13" s="1"/>
      <c r="J13" s="1"/>
      <c r="K13" s="7"/>
    </row>
    <row r="14" spans="1:11">
      <c r="A14" s="921" t="s">
        <v>35</v>
      </c>
      <c r="B14" s="657"/>
      <c r="C14" s="57">
        <f>'03-APU-NUEV UNC 2014'!D114</f>
        <v>302073.86135050002</v>
      </c>
      <c r="D14" s="57">
        <f>'03-APU-NUEV UNC 2014'!E114</f>
        <v>302073.86135050002</v>
      </c>
      <c r="E14" s="57">
        <f>'03-APU-NUEV UNC 2014'!F114</f>
        <v>302073.86135050002</v>
      </c>
      <c r="F14" s="35">
        <f>'03-APU-NUEV UNC 2014'!G114</f>
        <v>302073.86135050002</v>
      </c>
      <c r="G14" s="35">
        <f>'03-APU-NUEV UNC 2014'!H114</f>
        <v>302073.86135050002</v>
      </c>
      <c r="H14" s="35">
        <f>'03-APU-NUEV UNC 2014'!I114</f>
        <v>302073.86135050002</v>
      </c>
      <c r="I14" s="35">
        <f>'03-APU-NUEV UNC 2014'!J114</f>
        <v>302073.86135050002</v>
      </c>
      <c r="J14" s="35">
        <f>'03-APU-NUEV UNC 2014'!K114</f>
        <v>302073.86135050002</v>
      </c>
      <c r="K14" s="345">
        <f>'03-APU-NUEV UNC 2014'!L114</f>
        <v>302073.86135050002</v>
      </c>
    </row>
    <row r="15" spans="1:11">
      <c r="A15" s="921" t="s">
        <v>36</v>
      </c>
      <c r="B15" s="657"/>
      <c r="C15" s="57">
        <f>'03-APU-NUEV UNC 2014'!D129</f>
        <v>265686.27339793002</v>
      </c>
      <c r="D15" s="57">
        <f>'03-APU-NUEV UNC 2014'!E129</f>
        <v>265686.27339793002</v>
      </c>
      <c r="E15" s="57">
        <f>'03-APU-NUEV UNC 2014'!F129</f>
        <v>265686.27339793002</v>
      </c>
      <c r="F15" s="35">
        <f>'03-APU-NUEV UNC 2014'!G129</f>
        <v>265686.27339793002</v>
      </c>
      <c r="G15" s="35">
        <f>'03-APU-NUEV UNC 2014'!H129</f>
        <v>265686.27339793002</v>
      </c>
      <c r="H15" s="35">
        <f>'03-APU-NUEV UNC 2014'!I129</f>
        <v>265686.27339793002</v>
      </c>
      <c r="I15" s="35">
        <f>'03-APU-NUEV UNC 2014'!J129</f>
        <v>265686.27339793002</v>
      </c>
      <c r="J15" s="35">
        <f>'03-APU-NUEV UNC 2014'!K129</f>
        <v>265686.27339793002</v>
      </c>
      <c r="K15" s="345">
        <f>'03-APU-NUEV UNC 2014'!L129</f>
        <v>265686.27339793002</v>
      </c>
    </row>
    <row r="16" spans="1:11">
      <c r="A16" s="911"/>
      <c r="B16" s="912"/>
      <c r="C16" s="66"/>
      <c r="D16" s="66"/>
      <c r="E16" s="66"/>
      <c r="F16" s="1"/>
      <c r="G16" s="1"/>
      <c r="H16" s="1"/>
      <c r="I16" s="1"/>
      <c r="J16" s="1"/>
      <c r="K16" s="7"/>
    </row>
    <row r="17" spans="1:11">
      <c r="A17" s="922" t="s">
        <v>63</v>
      </c>
      <c r="B17" s="923"/>
      <c r="C17" s="66"/>
      <c r="D17" s="66"/>
      <c r="E17" s="66"/>
      <c r="F17" s="1"/>
      <c r="G17" s="1"/>
      <c r="H17" s="1"/>
      <c r="I17" s="1"/>
      <c r="J17" s="1"/>
      <c r="K17" s="7"/>
    </row>
    <row r="18" spans="1:11">
      <c r="A18" s="921" t="s">
        <v>37</v>
      </c>
      <c r="B18" s="657"/>
      <c r="C18" s="57">
        <f>'03-APU-NUEV UNC 2014'!D144</f>
        <v>474603.17987826344</v>
      </c>
      <c r="D18" s="57">
        <f>'03-APU-NUEV UNC 2014'!E144</f>
        <v>474603.17987826344</v>
      </c>
      <c r="E18" s="57">
        <f>'03-APU-NUEV UNC 2014'!F144</f>
        <v>474603.17987826344</v>
      </c>
      <c r="F18" s="35">
        <f>'03-APU-NUEV UNC 2014'!D144</f>
        <v>474603.17987826344</v>
      </c>
      <c r="G18" s="35">
        <f>'03-APU-NUEV UNC 2014'!H144</f>
        <v>474603.17987826344</v>
      </c>
      <c r="H18" s="35">
        <f>'03-APU-NUEV UNC 2014'!I144</f>
        <v>474603.17987826344</v>
      </c>
      <c r="I18" s="35">
        <f>'03-APU-NUEV UNC 2014'!J144</f>
        <v>474603.17987826344</v>
      </c>
      <c r="J18" s="35">
        <f>'03-APU-NUEV UNC 2014'!K144</f>
        <v>474603.17987826344</v>
      </c>
      <c r="K18" s="345">
        <f>'03-APU-NUEV UNC 2014'!L144</f>
        <v>474603.17987826344</v>
      </c>
    </row>
    <row r="19" spans="1:11">
      <c r="A19" s="921" t="s">
        <v>64</v>
      </c>
      <c r="B19" s="657"/>
      <c r="C19" s="57">
        <f>'03-APU-NUEV UNC 2014'!D160</f>
        <v>740289.45327619347</v>
      </c>
      <c r="D19" s="57">
        <f>'03-APU-NUEV UNC 2014'!E160</f>
        <v>740289.45327619347</v>
      </c>
      <c r="E19" s="57">
        <f>'03-APU-NUEV UNC 2014'!F160</f>
        <v>740289.45327619347</v>
      </c>
      <c r="F19" s="35">
        <f>'03-APU-NUEV UNC 2014'!G160</f>
        <v>740289.45327619347</v>
      </c>
      <c r="G19" s="35">
        <f>'03-APU-NUEV UNC 2014'!H160</f>
        <v>740289.45327619347</v>
      </c>
      <c r="H19" s="35">
        <f>'03-APU-NUEV UNC 2014'!I160</f>
        <v>740289.45327619347</v>
      </c>
      <c r="I19" s="35">
        <f>'03-APU-NUEV UNC 2014'!J160</f>
        <v>740289.45327619347</v>
      </c>
      <c r="J19" s="35">
        <f>'03-APU-NUEV UNC 2014'!K160</f>
        <v>740289.45327619347</v>
      </c>
      <c r="K19" s="345">
        <f>'03-APU-NUEV UNC 2014'!L160</f>
        <v>740289.45327619347</v>
      </c>
    </row>
    <row r="20" spans="1:11">
      <c r="A20" s="921" t="s">
        <v>38</v>
      </c>
      <c r="B20" s="657"/>
      <c r="C20" s="57">
        <f>'03-APU-NUEV UNC 2014'!D176</f>
        <v>596995.36707874015</v>
      </c>
      <c r="D20" s="57">
        <f>'03-APU-NUEV UNC 2014'!E176</f>
        <v>596995.36707874015</v>
      </c>
      <c r="E20" s="57">
        <f>'03-APU-NUEV UNC 2014'!F176</f>
        <v>596995.36707874015</v>
      </c>
      <c r="F20" s="35">
        <f>'03-APU-NUEV UNC 2014'!G176</f>
        <v>596995.36707874015</v>
      </c>
      <c r="G20" s="35">
        <f>'03-APU-NUEV UNC 2014'!H176</f>
        <v>596995.36707874015</v>
      </c>
      <c r="H20" s="35">
        <f>'03-APU-NUEV UNC 2014'!I176</f>
        <v>596995.36707874015</v>
      </c>
      <c r="I20" s="35">
        <f>'03-APU-NUEV UNC 2014'!J176</f>
        <v>596995.36707874015</v>
      </c>
      <c r="J20" s="35">
        <f>'03-APU-NUEV UNC 2014'!K176</f>
        <v>596995.36707874015</v>
      </c>
      <c r="K20" s="345">
        <f>'03-APU-NUEV UNC 2014'!L176</f>
        <v>596995.36707874015</v>
      </c>
    </row>
    <row r="21" spans="1:11">
      <c r="A21" s="921"/>
      <c r="B21" s="657"/>
      <c r="C21" s="57"/>
      <c r="D21" s="57"/>
      <c r="E21" s="57"/>
      <c r="F21" s="1"/>
      <c r="G21" s="1"/>
      <c r="H21" s="1"/>
      <c r="I21" s="1"/>
      <c r="J21" s="1"/>
      <c r="K21" s="7"/>
    </row>
    <row r="22" spans="1:11">
      <c r="A22" s="922" t="s">
        <v>270</v>
      </c>
      <c r="B22" s="923"/>
      <c r="C22" s="57">
        <f>'03-APU-NUEV UNC 2014'!D212</f>
        <v>387280</v>
      </c>
      <c r="D22" s="57">
        <f>'03-APU-NUEV UNC 2014'!E212</f>
        <v>387280</v>
      </c>
      <c r="E22" s="57">
        <f>'03-APU-NUEV UNC 2014'!F212</f>
        <v>387280</v>
      </c>
      <c r="F22" s="57">
        <f>'02-HH-2014'!$G$51*9.5*4</f>
        <v>2081619.3878984498</v>
      </c>
      <c r="G22" s="57">
        <f>'02-HH-2014'!$G$51*9.5*4</f>
        <v>2081619.3878984498</v>
      </c>
      <c r="H22" s="57">
        <f>'02-HH-2014'!$G$51*9.5*4</f>
        <v>2081619.3878984498</v>
      </c>
      <c r="I22" s="35">
        <f>'02-HH-2014'!$G$51*9.5*4</f>
        <v>2081619.3878984498</v>
      </c>
      <c r="J22" s="35">
        <f>'02-HH-2014'!$G$51*9.5*4</f>
        <v>2081619.3878984498</v>
      </c>
      <c r="K22" s="345">
        <f>'02-HH-2014'!$G$51*9.5*4</f>
        <v>2081619.3878984498</v>
      </c>
    </row>
    <row r="23" spans="1:11">
      <c r="A23" s="921"/>
      <c r="B23" s="657"/>
      <c r="C23" s="57"/>
      <c r="D23" s="57"/>
      <c r="E23" s="57"/>
      <c r="F23" s="32"/>
      <c r="G23" s="1"/>
      <c r="H23" s="1"/>
      <c r="I23" s="1"/>
      <c r="J23" s="1"/>
      <c r="K23" s="7"/>
    </row>
    <row r="24" spans="1:11">
      <c r="A24" s="922" t="s">
        <v>39</v>
      </c>
      <c r="B24" s="923"/>
      <c r="C24" s="57">
        <f>'03-APU-NUEV UNC 2014'!D65</f>
        <v>2198996.3333333335</v>
      </c>
      <c r="D24" s="57">
        <f>'03-APU-NUEV UNC 2014'!E65</f>
        <v>2198996.3333333335</v>
      </c>
      <c r="E24" s="57">
        <f>'03-APU-NUEV UNC 2014'!F65</f>
        <v>2198996.3333333335</v>
      </c>
      <c r="F24" s="35">
        <f>'03-APU-NUEV UNC 2014'!F65</f>
        <v>2198996.3333333335</v>
      </c>
      <c r="G24" s="35">
        <f>'03-APU-NUEV UNC 2014'!G65</f>
        <v>2198996.3333333335</v>
      </c>
      <c r="H24" s="35">
        <f>'03-APU-NUEV UNC 2014'!H65</f>
        <v>2198996.3333333335</v>
      </c>
      <c r="I24" s="35">
        <f>'03-APU-NUEV UNC 2014'!J65</f>
        <v>3021775.666666667</v>
      </c>
      <c r="J24" s="35">
        <f>'03-APU-NUEV UNC 2014'!K65</f>
        <v>3057192.3333333335</v>
      </c>
      <c r="K24" s="345">
        <f>'03-APU-NUEV UNC 2014'!L65</f>
        <v>3092609</v>
      </c>
    </row>
    <row r="25" spans="1:11">
      <c r="A25" s="917"/>
      <c r="B25" s="918"/>
      <c r="C25" s="66"/>
      <c r="D25" s="66"/>
      <c r="E25" s="66"/>
      <c r="F25" s="1"/>
      <c r="G25" s="1"/>
      <c r="H25" s="1"/>
      <c r="I25" s="1"/>
      <c r="J25" s="1"/>
      <c r="K25" s="7"/>
    </row>
    <row r="26" spans="1:11">
      <c r="A26" s="913" t="s">
        <v>12</v>
      </c>
      <c r="B26" s="914"/>
      <c r="C26" s="121">
        <f t="shared" ref="C26:E26" si="0">SUM(C8:C25)</f>
        <v>4965924.4683149606</v>
      </c>
      <c r="D26" s="121">
        <f t="shared" si="0"/>
        <v>4965924.4683149606</v>
      </c>
      <c r="E26" s="121">
        <f t="shared" si="0"/>
        <v>4965924.4683149606</v>
      </c>
      <c r="F26" s="121">
        <f t="shared" ref="F26:H26" si="1">SUM(F8:F25)</f>
        <v>6660263.8562134113</v>
      </c>
      <c r="G26" s="121">
        <f t="shared" si="1"/>
        <v>6660263.8562134113</v>
      </c>
      <c r="H26" s="121">
        <f t="shared" si="1"/>
        <v>6660263.8562134113</v>
      </c>
      <c r="I26" s="121">
        <f>SUM(I14:I15,I18:I20,I22,I24)</f>
        <v>7483043.1895467443</v>
      </c>
      <c r="J26" s="121">
        <f>SUM(J14:J15,J18:J20,J22,J24)</f>
        <v>7518459.8562134113</v>
      </c>
      <c r="K26" s="523">
        <f>SUM(K14:K15,K18:K20,K22,K24)</f>
        <v>7553876.5228800774</v>
      </c>
    </row>
    <row r="27" spans="1:11">
      <c r="A27" s="915"/>
      <c r="B27" s="916"/>
      <c r="C27" s="1"/>
      <c r="D27" s="1"/>
      <c r="E27" s="1"/>
      <c r="F27" s="1"/>
      <c r="G27" s="1"/>
      <c r="H27" s="1"/>
      <c r="I27" s="2"/>
      <c r="J27" s="2"/>
      <c r="K27" s="34"/>
    </row>
    <row r="28" spans="1:11">
      <c r="A28" s="936" t="s">
        <v>44</v>
      </c>
      <c r="B28" s="937"/>
      <c r="C28" s="2"/>
      <c r="D28" s="1"/>
      <c r="E28" s="1"/>
      <c r="F28" s="1"/>
      <c r="G28" s="1"/>
      <c r="H28" s="1"/>
      <c r="I28" s="1"/>
      <c r="J28" s="1"/>
      <c r="K28" s="7"/>
    </row>
    <row r="29" spans="1:11">
      <c r="A29" s="919" t="s">
        <v>65</v>
      </c>
      <c r="B29" s="920"/>
      <c r="C29" s="35">
        <v>12500</v>
      </c>
      <c r="D29" s="35">
        <v>12500</v>
      </c>
      <c r="E29" s="35">
        <v>12500</v>
      </c>
      <c r="F29" s="35">
        <v>12500</v>
      </c>
      <c r="G29" s="35">
        <v>12500</v>
      </c>
      <c r="H29" s="35">
        <v>12500</v>
      </c>
      <c r="I29" s="35">
        <v>12500</v>
      </c>
      <c r="J29" s="35">
        <v>12500</v>
      </c>
      <c r="K29" s="345">
        <v>12500</v>
      </c>
    </row>
    <row r="30" spans="1:11">
      <c r="A30" s="919" t="s">
        <v>66</v>
      </c>
      <c r="B30" s="920"/>
      <c r="C30" s="35">
        <f>'03-APU-NUEV UNC 2014'!G227</f>
        <v>112096.10866666665</v>
      </c>
      <c r="D30" s="35">
        <f>'03-APU-NUEV UNC 2014'!H227</f>
        <v>112096.10866666665</v>
      </c>
      <c r="E30" s="35">
        <f>'03-APU-NUEV UNC 2014'!I227</f>
        <v>112096.10866666665</v>
      </c>
      <c r="F30" s="35">
        <f>'03-APU-NUEV UNC 2014'!J227</f>
        <v>112096.10866666665</v>
      </c>
      <c r="G30" s="35">
        <f>'03-APU-NUEV UNC 2014'!K227</f>
        <v>112096.10866666665</v>
      </c>
      <c r="H30" s="35">
        <f>'03-APU-NUEV UNC 2014'!L227</f>
        <v>112096.10866666665</v>
      </c>
      <c r="I30" s="35">
        <f>'03-APU-NUEV UNC 2014'!J227</f>
        <v>112096.10866666665</v>
      </c>
      <c r="J30" s="35">
        <f>'03-APU-NUEV UNC 2014'!K227</f>
        <v>112096.10866666665</v>
      </c>
      <c r="K30" s="345">
        <f>'03-APU-NUEV UNC 2014'!L227</f>
        <v>112096.10866666665</v>
      </c>
    </row>
    <row r="31" spans="1:11">
      <c r="A31" s="919" t="s">
        <v>67</v>
      </c>
      <c r="B31" s="920"/>
      <c r="C31" s="35">
        <f>'03-APU-NUEV UNC 2014'!G228</f>
        <v>643274</v>
      </c>
      <c r="D31" s="35">
        <f>'03-APU-NUEV UNC 2014'!H228</f>
        <v>643274</v>
      </c>
      <c r="E31" s="35">
        <f>'03-APU-NUEV UNC 2014'!I228</f>
        <v>964911</v>
      </c>
      <c r="F31" s="35">
        <f>'03-APU-NUEV UNC 2014'!J228</f>
        <v>1286548</v>
      </c>
      <c r="G31" s="35">
        <f>'03-APU-NUEV UNC 2014'!K228</f>
        <v>1286548</v>
      </c>
      <c r="H31" s="35">
        <f>'03-APU-NUEV UNC 2014'!L228</f>
        <v>1286548</v>
      </c>
      <c r="I31" s="35">
        <f>'03-APU-NUEV UNC 2014'!J228</f>
        <v>1286548</v>
      </c>
      <c r="J31" s="35">
        <f>'03-APU-NUEV UNC 2014'!K228</f>
        <v>1286548</v>
      </c>
      <c r="K31" s="345">
        <f>'03-APU-NUEV UNC 2014'!L228</f>
        <v>1286548</v>
      </c>
    </row>
    <row r="32" spans="1:11">
      <c r="A32" s="919" t="s">
        <v>47</v>
      </c>
      <c r="B32" s="920"/>
      <c r="C32" s="35">
        <f>'03-APU-NUEV UNC 2014'!D229</f>
        <v>188506</v>
      </c>
      <c r="D32" s="35">
        <f>'03-APU-NUEV UNC 2014'!E229</f>
        <v>188506</v>
      </c>
      <c r="E32" s="35">
        <f>'03-APU-NUEV UNC 2014'!F229</f>
        <v>188506</v>
      </c>
      <c r="F32" s="35">
        <f>'03-APU-NUEV UNC 2014'!G229</f>
        <v>408576.75876240002</v>
      </c>
      <c r="G32" s="35">
        <f>'03-APU-NUEV UNC 2014'!H229</f>
        <v>672573.48968221399</v>
      </c>
      <c r="H32" s="35">
        <f>'03-APU-NUEV UNC 2014'!L229</f>
        <v>2945788.9830931202</v>
      </c>
      <c r="I32" s="35">
        <f>'03-APU-NUEV UNC 2014'!J229</f>
        <v>2680984.9830931202</v>
      </c>
      <c r="J32" s="35">
        <f>'03-APU-NUEV UNC 2014'!K229</f>
        <v>2813386.9830931202</v>
      </c>
      <c r="K32" s="345">
        <f>'03-APU-NUEV UNC 2014'!L229</f>
        <v>2945788.9830931202</v>
      </c>
    </row>
    <row r="33" spans="1:11">
      <c r="A33" s="919" t="s">
        <v>68</v>
      </c>
      <c r="B33" s="920"/>
      <c r="C33" s="35">
        <f>'03-APU-NUEV UNC 2014'!G230</f>
        <v>322273.05143896001</v>
      </c>
      <c r="D33" s="35">
        <f>'03-APU-NUEV UNC 2014'!H230</f>
        <v>322273.05143896001</v>
      </c>
      <c r="E33" s="35">
        <f>'03-APU-NUEV UNC 2014'!I230</f>
        <v>483409.57715844002</v>
      </c>
      <c r="F33" s="35">
        <f>'03-APU-NUEV UNC 2014'!J230</f>
        <v>644546.10287792003</v>
      </c>
      <c r="G33" s="35">
        <f>'03-APU-NUEV UNC 2014'!K230</f>
        <v>644546.10287792003</v>
      </c>
      <c r="H33" s="35">
        <f>'03-APU-NUEV UNC 2014'!L230</f>
        <v>644546.10287792003</v>
      </c>
      <c r="I33" s="35">
        <f>'03-APU-NUEV UNC 2014'!J230</f>
        <v>644546.10287792003</v>
      </c>
      <c r="J33" s="35">
        <f>'03-APU-NUEV UNC 2014'!K230</f>
        <v>644546.10287792003</v>
      </c>
      <c r="K33" s="345">
        <f>'03-APU-NUEV UNC 2014'!L230</f>
        <v>644546.10287792003</v>
      </c>
    </row>
    <row r="34" spans="1:11">
      <c r="A34" s="919" t="s">
        <v>49</v>
      </c>
      <c r="B34" s="920"/>
      <c r="C34" s="35">
        <f>'03-APU-NUEV UNC 2014'!D231</f>
        <v>597786.66666666663</v>
      </c>
      <c r="D34" s="35">
        <f>'03-APU-NUEV UNC 2014'!E231</f>
        <v>597786.66666666663</v>
      </c>
      <c r="E34" s="35">
        <f>'03-APU-NUEV UNC 2014'!F231</f>
        <v>597786.66666666663</v>
      </c>
      <c r="F34" s="35">
        <f>'03-APU-NUEV UNC 2014'!G231</f>
        <v>597786.66666666663</v>
      </c>
      <c r="G34" s="35">
        <f>'03-APU-NUEV UNC 2014'!H231</f>
        <v>597786.66666666663</v>
      </c>
      <c r="H34" s="35">
        <f>'03-APU-NUEV UNC 2014'!L231</f>
        <v>523160</v>
      </c>
      <c r="I34" s="35">
        <f>'03-APU-NUEV UNC 2014'!J231</f>
        <v>407160</v>
      </c>
      <c r="J34" s="35">
        <f>'03-APU-NUEV UNC 2014'!K231</f>
        <v>465160</v>
      </c>
      <c r="K34" s="345">
        <f>'03-APU-NUEV UNC 2014'!L231</f>
        <v>523160</v>
      </c>
    </row>
    <row r="35" spans="1:11">
      <c r="A35" s="919" t="s">
        <v>50</v>
      </c>
      <c r="B35" s="920"/>
      <c r="C35" s="35">
        <f>'03-APU-NUEV UNC 2014'!G232</f>
        <v>76000</v>
      </c>
      <c r="D35" s="35">
        <f>'03-APU-NUEV UNC 2014'!H232</f>
        <v>76000</v>
      </c>
      <c r="E35" s="35">
        <f>'03-APU-NUEV UNC 2014'!I232</f>
        <v>114000</v>
      </c>
      <c r="F35" s="35">
        <f>'03-APU-NUEV UNC 2014'!J232</f>
        <v>152000</v>
      </c>
      <c r="G35" s="35">
        <f>'03-APU-NUEV UNC 2014'!K232</f>
        <v>152000</v>
      </c>
      <c r="H35" s="35">
        <f>'03-APU-NUEV UNC 2014'!L232</f>
        <v>152000</v>
      </c>
      <c r="I35" s="35">
        <f>'03-APU-NUEV UNC 2014'!J232</f>
        <v>152000</v>
      </c>
      <c r="J35" s="35">
        <f>'03-APU-NUEV UNC 2014'!K232</f>
        <v>152000</v>
      </c>
      <c r="K35" s="345">
        <f>'03-APU-NUEV UNC 2014'!L232</f>
        <v>152000</v>
      </c>
    </row>
    <row r="36" spans="1:11">
      <c r="A36" s="919" t="s">
        <v>51</v>
      </c>
      <c r="B36" s="920"/>
      <c r="C36" s="35">
        <f>'03-APU-NUEV UNC 2014'!G233</f>
        <v>257333.33333333334</v>
      </c>
      <c r="D36" s="35">
        <f>'03-APU-NUEV UNC 2014'!H233</f>
        <v>273333.33333333331</v>
      </c>
      <c r="E36" s="35">
        <f>'03-APU-NUEV UNC 2014'!I233</f>
        <v>136666.66666666666</v>
      </c>
      <c r="F36" s="35">
        <f>'03-APU-NUEV UNC 2014'!J233</f>
        <v>136666.66666666666</v>
      </c>
      <c r="G36" s="35">
        <f>'03-APU-NUEV UNC 2014'!K233</f>
        <v>136666.66666666666</v>
      </c>
      <c r="H36" s="35">
        <f>'03-APU-NUEV UNC 2014'!L233</f>
        <v>136666.66666666666</v>
      </c>
      <c r="I36" s="35">
        <f>'03-APU-NUEV UNC 2014'!J233</f>
        <v>136666.66666666666</v>
      </c>
      <c r="J36" s="35">
        <f>'03-APU-NUEV UNC 2014'!K233</f>
        <v>136666.66666666666</v>
      </c>
      <c r="K36" s="345">
        <f>'03-APU-NUEV UNC 2014'!L233</f>
        <v>136666.66666666666</v>
      </c>
    </row>
    <row r="37" spans="1:11">
      <c r="A37" s="919" t="s">
        <v>69</v>
      </c>
      <c r="B37" s="920"/>
      <c r="C37" s="35">
        <f>'03-APU-NUEV UNC 2014'!G234</f>
        <v>206118.19571865443</v>
      </c>
      <c r="D37" s="35">
        <f>'03-APU-NUEV UNC 2014'!H234</f>
        <v>206118.19571865443</v>
      </c>
      <c r="E37" s="35">
        <f>'03-APU-NUEV UNC 2014'!I234</f>
        <v>206118.19571865443</v>
      </c>
      <c r="F37" s="35">
        <f>'03-APU-NUEV UNC 2014'!J234</f>
        <v>206118.19571865443</v>
      </c>
      <c r="G37" s="35">
        <f>'03-APU-NUEV UNC 2014'!K234</f>
        <v>206118.19571865443</v>
      </c>
      <c r="H37" s="35">
        <f>'03-APU-NUEV UNC 2014'!L234</f>
        <v>206118.19571865443</v>
      </c>
      <c r="I37" s="35">
        <f>'03-APU-NUEV UNC 2014'!J234</f>
        <v>206118.19571865443</v>
      </c>
      <c r="J37" s="35">
        <f>'03-APU-NUEV UNC 2014'!K234</f>
        <v>206118.19571865443</v>
      </c>
      <c r="K37" s="345">
        <f>'03-APU-NUEV UNC 2014'!L234</f>
        <v>206118.19571865443</v>
      </c>
    </row>
    <row r="38" spans="1:11" ht="29.25" customHeight="1">
      <c r="A38" s="699" t="s">
        <v>70</v>
      </c>
      <c r="B38" s="781"/>
      <c r="C38" s="35">
        <f>'03-APU-NUEV UNC 2014'!G235</f>
        <v>322273.05143896001</v>
      </c>
      <c r="D38" s="35">
        <f>'03-APU-NUEV UNC 2014'!H235</f>
        <v>322273.05143896001</v>
      </c>
      <c r="E38" s="35">
        <f>'03-APU-NUEV UNC 2014'!I235</f>
        <v>483409.57715844002</v>
      </c>
      <c r="F38" s="35">
        <f>'03-APU-NUEV UNC 2014'!J235</f>
        <v>644546.10287792003</v>
      </c>
      <c r="G38" s="35">
        <f>'03-APU-NUEV UNC 2014'!K235</f>
        <v>644546.10287792003</v>
      </c>
      <c r="H38" s="35">
        <f>'03-APU-NUEV UNC 2014'!L235</f>
        <v>644546.10287792003</v>
      </c>
      <c r="I38" s="35">
        <f>'03-APU-NUEV UNC 2014'!J235</f>
        <v>644546.10287792003</v>
      </c>
      <c r="J38" s="35">
        <f>'03-APU-NUEV UNC 2014'!K235</f>
        <v>644546.10287792003</v>
      </c>
      <c r="K38" s="345">
        <f>'03-APU-NUEV UNC 2014'!L235</f>
        <v>644546.10287792003</v>
      </c>
    </row>
    <row r="39" spans="1:11">
      <c r="A39" s="917"/>
      <c r="B39" s="918"/>
      <c r="C39" s="1"/>
      <c r="D39" s="1"/>
      <c r="E39" s="1"/>
      <c r="F39" s="1"/>
      <c r="G39" s="1"/>
      <c r="H39" s="1"/>
      <c r="I39" s="1"/>
      <c r="J39" s="1"/>
      <c r="K39" s="7"/>
    </row>
    <row r="40" spans="1:11">
      <c r="A40" s="913" t="s">
        <v>43</v>
      </c>
      <c r="B40" s="914"/>
      <c r="C40" s="104">
        <f>SUM(C28,C29,C30,C31,C32,C33,C34,C35,C36,C37,C38)</f>
        <v>2738160.4072632408</v>
      </c>
      <c r="D40" s="104">
        <f>SUM(D28,D29,D30,D31,D32,D33,D34,D35,D36,D37,D38)</f>
        <v>2754160.4072632408</v>
      </c>
      <c r="E40" s="104">
        <f>SUM(E29:E38)</f>
        <v>3299403.792035534</v>
      </c>
      <c r="F40" s="104">
        <f t="shared" ref="F40:H40" si="2">SUM(F28,F29,F30,F31,F32,F33,F34,F35,F36,F37,F38)</f>
        <v>4201384.602236894</v>
      </c>
      <c r="G40" s="104">
        <f t="shared" si="2"/>
        <v>4465381.3331567086</v>
      </c>
      <c r="H40" s="104">
        <f t="shared" si="2"/>
        <v>6663970.1599009484</v>
      </c>
      <c r="I40" s="104">
        <f>SUM(I29:I38)</f>
        <v>6283166.1599009484</v>
      </c>
      <c r="J40" s="104">
        <f>SUM(J29:J38)</f>
        <v>6473568.1599009484</v>
      </c>
      <c r="K40" s="524">
        <f>SUM(K29:K38)</f>
        <v>6663970.1599009484</v>
      </c>
    </row>
    <row r="41" spans="1:11">
      <c r="A41" s="911"/>
      <c r="B41" s="912"/>
      <c r="C41" s="66"/>
      <c r="D41" s="66"/>
      <c r="E41" s="66"/>
      <c r="F41" s="66"/>
      <c r="G41" s="66"/>
      <c r="H41" s="66"/>
      <c r="I41" s="2"/>
      <c r="J41" s="2"/>
      <c r="K41" s="34"/>
    </row>
    <row r="42" spans="1:11">
      <c r="A42" s="922" t="s">
        <v>54</v>
      </c>
      <c r="B42" s="923"/>
      <c r="C42" s="66"/>
      <c r="D42" s="66"/>
      <c r="E42" s="66"/>
      <c r="F42" s="66"/>
      <c r="G42" s="66"/>
      <c r="H42" s="66"/>
      <c r="I42" s="66"/>
      <c r="J42" s="66"/>
      <c r="K42" s="525"/>
    </row>
    <row r="43" spans="1:11">
      <c r="A43" s="921" t="s">
        <v>71</v>
      </c>
      <c r="B43" s="657"/>
      <c r="C43" s="35">
        <f>'03-APU-NUEV UNC 2014'!D13</f>
        <v>1306350.2762524625</v>
      </c>
      <c r="D43" s="35">
        <f>'03-APU-NUEV UNC 2014'!E13</f>
        <v>1306350.2762524625</v>
      </c>
      <c r="E43" s="35">
        <f>'03-APU-NUEV UNC 2014'!F13</f>
        <v>1306350.2762524625</v>
      </c>
      <c r="F43" s="35">
        <f>'03-APU-NUEV UNC 2014'!G13</f>
        <v>1306350.2762524625</v>
      </c>
      <c r="G43" s="35">
        <f>'03-APU-NUEV UNC 2014'!H13</f>
        <v>1306350.2762524625</v>
      </c>
      <c r="H43" s="35">
        <f>'03-APU-NUEV UNC 2014'!I13</f>
        <v>1959525.414378694</v>
      </c>
      <c r="I43" s="35">
        <f>'03-APU-NUEV UNC 2014'!J13</f>
        <v>2536271.3875049255</v>
      </c>
      <c r="J43" s="35">
        <f>'03-APU-NUEV UNC 2014'!K13</f>
        <v>2536271.3875049255</v>
      </c>
      <c r="K43" s="345">
        <f>'03-APU-NUEV UNC 2014'!L13</f>
        <v>2536271.3875049255</v>
      </c>
    </row>
    <row r="44" spans="1:11">
      <c r="A44" s="911"/>
      <c r="B44" s="912"/>
      <c r="C44" s="66"/>
      <c r="D44" s="66"/>
      <c r="E44" s="66"/>
      <c r="F44" s="66"/>
      <c r="G44" s="66"/>
      <c r="H44" s="66"/>
      <c r="I44" s="66"/>
      <c r="J44" s="66"/>
      <c r="K44" s="525"/>
    </row>
    <row r="45" spans="1:11">
      <c r="A45" s="913" t="s">
        <v>12</v>
      </c>
      <c r="B45" s="914"/>
      <c r="C45" s="104">
        <f>C43</f>
        <v>1306350.2762524625</v>
      </c>
      <c r="D45" s="104">
        <f t="shared" ref="D45:H45" si="3">D43</f>
        <v>1306350.2762524625</v>
      </c>
      <c r="E45" s="104">
        <f t="shared" si="3"/>
        <v>1306350.2762524625</v>
      </c>
      <c r="F45" s="104">
        <f t="shared" si="3"/>
        <v>1306350.2762524625</v>
      </c>
      <c r="G45" s="104">
        <f t="shared" si="3"/>
        <v>1306350.2762524625</v>
      </c>
      <c r="H45" s="104">
        <f t="shared" si="3"/>
        <v>1959525.414378694</v>
      </c>
      <c r="I45" s="105">
        <f>I43</f>
        <v>2536271.3875049255</v>
      </c>
      <c r="J45" s="105">
        <f>J43</f>
        <v>2536271.3875049255</v>
      </c>
      <c r="K45" s="524">
        <f>K43</f>
        <v>2536271.3875049255</v>
      </c>
    </row>
    <row r="46" spans="1:11">
      <c r="A46" s="911"/>
      <c r="B46" s="912"/>
      <c r="C46" s="66"/>
      <c r="D46" s="66"/>
      <c r="E46" s="66"/>
      <c r="F46" s="66"/>
      <c r="G46" s="66"/>
      <c r="H46" s="66"/>
      <c r="I46" s="66"/>
      <c r="J46" s="66"/>
      <c r="K46" s="525"/>
    </row>
    <row r="47" spans="1:11">
      <c r="A47" s="922" t="s">
        <v>55</v>
      </c>
      <c r="B47" s="923"/>
      <c r="C47" s="35"/>
      <c r="D47" s="35"/>
      <c r="E47" s="35"/>
      <c r="F47" s="35"/>
      <c r="G47" s="35"/>
      <c r="H47" s="35"/>
      <c r="I47" s="35"/>
      <c r="J47" s="35"/>
      <c r="K47" s="345"/>
    </row>
    <row r="48" spans="1:11">
      <c r="A48" s="921" t="s">
        <v>56</v>
      </c>
      <c r="B48" s="657"/>
      <c r="C48" s="35">
        <f>'03-APU-NUEV UNC 2014'!G219</f>
        <v>79304.433856434829</v>
      </c>
      <c r="D48" s="35">
        <f>'03-APU-NUEV UNC 2014'!H219</f>
        <v>198261.75775074653</v>
      </c>
      <c r="E48" s="35">
        <f>'03-APU-NUEV UNC 2014'!I219</f>
        <v>198261.75775074653</v>
      </c>
      <c r="F48" s="35">
        <f>'03-APU-NUEV UNC 2014'!J219</f>
        <v>198261.75775074653</v>
      </c>
      <c r="G48" s="35">
        <f>'03-APU-NUEV UNC 2014'!K219</f>
        <v>198261.75775074653</v>
      </c>
      <c r="H48" s="35">
        <f>'03-APU-NUEV UNC 2014'!L219</f>
        <v>198261.75775074653</v>
      </c>
      <c r="I48" s="35">
        <f>'03-APU-NUEV UNC 2014'!J219</f>
        <v>198261.75775074653</v>
      </c>
      <c r="J48" s="35">
        <f>'03-APU-NUEV UNC 2014'!K219</f>
        <v>198261.75775074653</v>
      </c>
      <c r="K48" s="345">
        <f>'03-APU-NUEV UNC 2014'!L219</f>
        <v>198261.75775074653</v>
      </c>
    </row>
    <row r="49" spans="1:11">
      <c r="A49" s="911"/>
      <c r="B49" s="912"/>
      <c r="C49" s="66"/>
      <c r="D49" s="66"/>
      <c r="E49" s="66"/>
      <c r="F49" s="66"/>
      <c r="G49" s="66"/>
      <c r="H49" s="66"/>
      <c r="I49" s="66"/>
      <c r="J49" s="66"/>
      <c r="K49" s="525"/>
    </row>
    <row r="50" spans="1:11">
      <c r="A50" s="913" t="s">
        <v>43</v>
      </c>
      <c r="B50" s="914"/>
      <c r="C50" s="104">
        <f>C48</f>
        <v>79304.433856434829</v>
      </c>
      <c r="D50" s="104">
        <f t="shared" ref="D50:H50" si="4">D48</f>
        <v>198261.75775074653</v>
      </c>
      <c r="E50" s="104">
        <f t="shared" si="4"/>
        <v>198261.75775074653</v>
      </c>
      <c r="F50" s="104">
        <f t="shared" si="4"/>
        <v>198261.75775074653</v>
      </c>
      <c r="G50" s="104">
        <f t="shared" si="4"/>
        <v>198261.75775074653</v>
      </c>
      <c r="H50" s="104">
        <f t="shared" si="4"/>
        <v>198261.75775074653</v>
      </c>
      <c r="I50" s="104">
        <f>I48</f>
        <v>198261.75775074653</v>
      </c>
      <c r="J50" s="104">
        <f>J48</f>
        <v>198261.75775074653</v>
      </c>
      <c r="K50" s="526">
        <f>K48</f>
        <v>198261.75775074653</v>
      </c>
    </row>
    <row r="51" spans="1:11">
      <c r="A51" s="917"/>
      <c r="B51" s="918"/>
      <c r="C51" s="1"/>
      <c r="D51" s="1"/>
      <c r="E51" s="1"/>
      <c r="F51" s="1"/>
      <c r="G51" s="1"/>
      <c r="H51" s="1"/>
      <c r="I51" s="1"/>
      <c r="J51" s="1"/>
      <c r="K51" s="7"/>
    </row>
    <row r="52" spans="1:11">
      <c r="A52" s="922" t="s">
        <v>57</v>
      </c>
      <c r="B52" s="923"/>
      <c r="C52" s="66"/>
      <c r="D52" s="66"/>
      <c r="E52" s="66"/>
      <c r="F52" s="66"/>
      <c r="G52" s="66"/>
      <c r="H52" s="66"/>
      <c r="I52" s="66"/>
      <c r="J52" s="66"/>
      <c r="K52" s="525"/>
    </row>
    <row r="53" spans="1:11" s="5" customFormat="1">
      <c r="A53" s="919" t="s">
        <v>434</v>
      </c>
      <c r="B53" s="920"/>
      <c r="C53" s="223">
        <f>'03-APU-NUEV UNC 2014'!D201</f>
        <v>14656584.363636365</v>
      </c>
      <c r="D53" s="223">
        <f>'03-APU-NUEV UNC 2014'!E201</f>
        <v>15209806.181818184</v>
      </c>
      <c r="E53" s="223">
        <f>'03-APU-NUEV UNC 2014'!F201</f>
        <v>17385812</v>
      </c>
      <c r="F53" s="223">
        <f>'03-APU-NUEV UNC 2014'!G201</f>
        <v>20158068</v>
      </c>
      <c r="G53" s="223">
        <f>'03-APU-NUEV UNC 2014'!H201</f>
        <v>23369828</v>
      </c>
      <c r="H53" s="223">
        <f>'03-APU-NUEV UNC 2014'!I201</f>
        <v>26195210.857142858</v>
      </c>
      <c r="I53" s="223">
        <f>'03-APU-NUEV UNC 2014'!J201</f>
        <v>30469508</v>
      </c>
      <c r="J53" s="223">
        <f>'03-APU-NUEV UNC 2014'!K201</f>
        <v>36656372</v>
      </c>
      <c r="K53" s="235">
        <f>'03-APU-NUEV UNC 2014'!L201</f>
        <v>42893948</v>
      </c>
    </row>
    <row r="54" spans="1:11">
      <c r="A54" s="921" t="s">
        <v>61</v>
      </c>
      <c r="B54" s="657"/>
      <c r="C54" s="35">
        <f>'03-APU-NUEV UNC 2014'!G365</f>
        <v>2917600.5499588801</v>
      </c>
      <c r="D54" s="35">
        <f>'03-APU-NUEV UNC 2014'!H365</f>
        <v>2755051.2982996223</v>
      </c>
      <c r="E54" s="35">
        <f>'03-APU-NUEV UNC 2014'!I365</f>
        <v>3243529.6705971505</v>
      </c>
      <c r="F54" s="35">
        <f>'03-APU-NUEV UNC 2014'!J365</f>
        <v>3342085.0407136986</v>
      </c>
      <c r="G54" s="35">
        <f>'03-APU-NUEV UNC 2014'!K365</f>
        <v>3400274.0245533586</v>
      </c>
      <c r="H54" s="35">
        <f>'03-APU-NUEV UNC 2014'!L365</f>
        <v>3856677.3753590365</v>
      </c>
      <c r="I54" s="35">
        <f>'03-APU-NUEV UNC 2014'!J365</f>
        <v>3342085.0407136986</v>
      </c>
      <c r="J54" s="35">
        <f>'03-APU-NUEV UNC 2014'!K365</f>
        <v>3400274.0245533586</v>
      </c>
      <c r="K54" s="345">
        <f>'03-APU-NUEV UNC 2014'!L365</f>
        <v>3856677.3753590365</v>
      </c>
    </row>
    <row r="55" spans="1:11">
      <c r="A55" s="917"/>
      <c r="B55" s="918"/>
      <c r="C55" s="1"/>
      <c r="D55" s="1"/>
      <c r="E55" s="1"/>
      <c r="F55" s="1"/>
      <c r="G55" s="1"/>
      <c r="H55" s="1"/>
      <c r="I55" s="1"/>
      <c r="J55" s="1"/>
      <c r="K55" s="7"/>
    </row>
    <row r="56" spans="1:11">
      <c r="A56" s="913" t="s">
        <v>12</v>
      </c>
      <c r="B56" s="914"/>
      <c r="C56" s="104">
        <f>SUM(C53:C55)</f>
        <v>17574184.913595244</v>
      </c>
      <c r="D56" s="104">
        <f t="shared" ref="D56:H56" si="5">SUM(D53:D55)</f>
        <v>17964857.480117805</v>
      </c>
      <c r="E56" s="104">
        <f t="shared" si="5"/>
        <v>20629341.670597151</v>
      </c>
      <c r="F56" s="104">
        <f t="shared" si="5"/>
        <v>23500153.040713698</v>
      </c>
      <c r="G56" s="104">
        <f t="shared" si="5"/>
        <v>26770102.024553359</v>
      </c>
      <c r="H56" s="104">
        <f t="shared" si="5"/>
        <v>30051888.232501894</v>
      </c>
      <c r="I56" s="104">
        <f>SUM(I53,I54)</f>
        <v>33811593.040713698</v>
      </c>
      <c r="J56" s="104">
        <f>SUM(J53,J54)</f>
        <v>40056646.024553359</v>
      </c>
      <c r="K56" s="526">
        <f>SUM(K53,K54)</f>
        <v>46750625.375359036</v>
      </c>
    </row>
    <row r="57" spans="1:11" ht="15.75" thickBot="1">
      <c r="A57" s="924"/>
      <c r="B57" s="925"/>
      <c r="C57" s="4"/>
      <c r="D57" s="4"/>
      <c r="E57" s="4"/>
      <c r="F57" s="4"/>
      <c r="G57" s="4"/>
      <c r="H57" s="4"/>
      <c r="I57" s="4"/>
      <c r="J57" s="4"/>
      <c r="K57" s="137"/>
    </row>
    <row r="58" spans="1:11" ht="15.75" thickTop="1">
      <c r="A58" s="971" t="s">
        <v>439</v>
      </c>
      <c r="B58" s="972"/>
      <c r="C58" s="598">
        <f t="shared" ref="C58:K58" si="6">SUM(C56,C50,C45,C40,C26)</f>
        <v>26663924.499282345</v>
      </c>
      <c r="D58" s="598">
        <f t="shared" si="6"/>
        <v>27189554.389699217</v>
      </c>
      <c r="E58" s="598">
        <f t="shared" si="6"/>
        <v>30399281.964950856</v>
      </c>
      <c r="F58" s="598">
        <f t="shared" si="6"/>
        <v>35866413.533167213</v>
      </c>
      <c r="G58" s="598">
        <f t="shared" si="6"/>
        <v>39400359.24792669</v>
      </c>
      <c r="H58" s="598">
        <f t="shared" si="6"/>
        <v>45533909.420745693</v>
      </c>
      <c r="I58" s="598">
        <f t="shared" si="6"/>
        <v>50312335.535417065</v>
      </c>
      <c r="J58" s="598">
        <f t="shared" si="6"/>
        <v>56783207.185923398</v>
      </c>
      <c r="K58" s="599">
        <f t="shared" si="6"/>
        <v>63703005.203395739</v>
      </c>
    </row>
    <row r="59" spans="1:11">
      <c r="A59" s="973"/>
      <c r="B59" s="974"/>
      <c r="C59" s="505"/>
      <c r="D59" s="505"/>
      <c r="E59" s="505"/>
      <c r="F59" s="505"/>
      <c r="G59" s="505"/>
      <c r="H59" s="505"/>
      <c r="I59" s="520"/>
      <c r="J59" s="520"/>
      <c r="K59" s="528"/>
    </row>
    <row r="60" spans="1:11">
      <c r="A60" s="932" t="s">
        <v>59</v>
      </c>
      <c r="B60" s="933"/>
      <c r="C60" s="516">
        <f>'05-ED-2014'!C14</f>
        <v>8889254.2342970259</v>
      </c>
      <c r="D60" s="516">
        <f>'05-ED-2014'!D14</f>
        <v>17059376.779751569</v>
      </c>
      <c r="E60" s="516">
        <f>'05-ED-2014'!E14</f>
        <v>17067879.57975157</v>
      </c>
      <c r="F60" s="516">
        <f>'05-ED-2014'!G14</f>
        <v>18664701.416697025</v>
      </c>
      <c r="G60" s="516">
        <f>'05-ED-2014'!G14</f>
        <v>18664701.416697025</v>
      </c>
      <c r="H60" s="516">
        <f>'05-ED-2014'!H14</f>
        <v>19598678.339897022</v>
      </c>
      <c r="I60" s="516">
        <f>'05-ED-2014'!I14</f>
        <v>47227182.07456369</v>
      </c>
      <c r="J60" s="516">
        <f>'05-ED-2014'!J14</f>
        <v>47268265.407897025</v>
      </c>
      <c r="K60" s="529">
        <f>'05-ED-2014'!K14</f>
        <v>47309348.741230361</v>
      </c>
    </row>
    <row r="61" spans="1:11">
      <c r="A61" s="915"/>
      <c r="B61" s="916"/>
      <c r="C61" s="512"/>
      <c r="D61" s="512"/>
      <c r="E61" s="512"/>
      <c r="F61" s="512"/>
      <c r="G61" s="512">
        <v>0</v>
      </c>
      <c r="H61" s="512"/>
      <c r="I61" s="512"/>
      <c r="J61" s="512"/>
      <c r="K61" s="510"/>
    </row>
    <row r="62" spans="1:11">
      <c r="A62" s="125" t="s">
        <v>214</v>
      </c>
      <c r="B62" s="123">
        <v>0.1</v>
      </c>
      <c r="C62" s="519">
        <f>SUM(C58,C60)*B62</f>
        <v>3555317.8733579367</v>
      </c>
      <c r="D62" s="519">
        <f>SUM(D58,D60)*B62</f>
        <v>4424893.1169450795</v>
      </c>
      <c r="E62" s="519">
        <f>SUM(E58,E60)*B62</f>
        <v>4746716.1544702426</v>
      </c>
      <c r="F62" s="519">
        <f>SUM(F58,F60)*B62</f>
        <v>5453111.4949864242</v>
      </c>
      <c r="G62" s="519">
        <f>SUM(G58,G60)*B62</f>
        <v>5806506.0664623715</v>
      </c>
      <c r="H62" s="519">
        <f>SUM(H58,H60)*B62</f>
        <v>6513258.776064272</v>
      </c>
      <c r="I62" s="122">
        <f>SUM(I58,I60)*B62</f>
        <v>9753951.7609980758</v>
      </c>
      <c r="J62" s="122">
        <f>SUM(J58,J60)*B62</f>
        <v>10405147.259382043</v>
      </c>
      <c r="K62" s="535">
        <f>SUM(K58,K60)*B62</f>
        <v>11101235.39446261</v>
      </c>
    </row>
    <row r="63" spans="1:11">
      <c r="A63" s="125" t="s">
        <v>268</v>
      </c>
      <c r="B63" s="123">
        <v>0.1</v>
      </c>
      <c r="C63" s="519">
        <f>SUM(C58,C60)*B63</f>
        <v>3555317.8733579367</v>
      </c>
      <c r="D63" s="519">
        <f>SUM(D58,D60)*B63</f>
        <v>4424893.1169450795</v>
      </c>
      <c r="E63" s="519">
        <f>SUM(E58,E60)*B63</f>
        <v>4746716.1544702426</v>
      </c>
      <c r="F63" s="519">
        <f>SUM(F58,F60)*B63</f>
        <v>5453111.4949864242</v>
      </c>
      <c r="G63" s="519">
        <f>SUM(G58,G60)*B63</f>
        <v>5806506.0664623715</v>
      </c>
      <c r="H63" s="519">
        <f>SUM(H58,H60)*B63</f>
        <v>6513258.776064272</v>
      </c>
      <c r="I63" s="511">
        <f>SUM(I60)*B63</f>
        <v>4722718.207456369</v>
      </c>
      <c r="J63" s="511">
        <f>SUM(J58,J60)*B63</f>
        <v>10405147.259382043</v>
      </c>
      <c r="K63" s="530">
        <f>SUM(K58,K60)*B63</f>
        <v>11101235.39446261</v>
      </c>
    </row>
    <row r="64" spans="1:11">
      <c r="A64" s="125" t="s">
        <v>269</v>
      </c>
      <c r="B64" s="123">
        <v>0.05</v>
      </c>
      <c r="C64" s="519">
        <f>SUM(C58,C60)*B64</f>
        <v>1777658.9366789684</v>
      </c>
      <c r="D64" s="519">
        <f>SUM(D58,D60)*B64</f>
        <v>2212446.5584725398</v>
      </c>
      <c r="E64" s="519">
        <f>SUM(E58,E60)*B64</f>
        <v>2373358.0772351213</v>
      </c>
      <c r="F64" s="519">
        <f>SUM(F58,F60)*B64</f>
        <v>2726555.7474932121</v>
      </c>
      <c r="G64" s="519">
        <f>SUM(G58,G60)*B64</f>
        <v>2903253.0332311857</v>
      </c>
      <c r="H64" s="519">
        <f>SUM(H58,H60)*B64</f>
        <v>3256629.388032136</v>
      </c>
      <c r="I64" s="511">
        <f>SUM(I60)*B64</f>
        <v>2361359.1037281845</v>
      </c>
      <c r="J64" s="511">
        <f>SUM(J58,J60)*B64</f>
        <v>5202573.6296910215</v>
      </c>
      <c r="K64" s="530">
        <f>SUM(K60)*B64</f>
        <v>2365467.437061518</v>
      </c>
    </row>
    <row r="65" spans="1:11">
      <c r="A65" s="125" t="s">
        <v>274</v>
      </c>
      <c r="B65" s="123">
        <v>0.16</v>
      </c>
      <c r="C65" s="519">
        <f>C64*B65</f>
        <v>284425.42986863496</v>
      </c>
      <c r="D65" s="519">
        <f>D64*B65</f>
        <v>353991.4493556064</v>
      </c>
      <c r="E65" s="519">
        <f>E64*B65</f>
        <v>379737.29235761939</v>
      </c>
      <c r="F65" s="519">
        <f>F64*B65</f>
        <v>436248.91959891393</v>
      </c>
      <c r="G65" s="519">
        <f>G64*B65</f>
        <v>464520.48531698971</v>
      </c>
      <c r="H65" s="519">
        <f>H64*B65</f>
        <v>521060.70208514179</v>
      </c>
      <c r="I65" s="511">
        <f>I64*B65</f>
        <v>377817.4565965095</v>
      </c>
      <c r="J65" s="511">
        <f>J64*B65</f>
        <v>832411.78075056348</v>
      </c>
      <c r="K65" s="530">
        <f>K64*B65</f>
        <v>378474.78992984287</v>
      </c>
    </row>
    <row r="66" spans="1:11" ht="15.75" thickBot="1">
      <c r="A66" s="928"/>
      <c r="B66" s="929"/>
      <c r="C66" s="517"/>
      <c r="D66" s="517"/>
      <c r="E66" s="517"/>
      <c r="F66" s="517"/>
      <c r="G66" s="517"/>
      <c r="H66" s="517"/>
      <c r="I66" s="541"/>
      <c r="J66" s="541"/>
      <c r="K66" s="542"/>
    </row>
    <row r="67" spans="1:11" ht="24" customHeight="1" thickBot="1">
      <c r="A67" s="930" t="s">
        <v>438</v>
      </c>
      <c r="B67" s="968"/>
      <c r="C67" s="600">
        <f>SUM(C58,C60,C62:C65)</f>
        <v>44725898.846842848</v>
      </c>
      <c r="D67" s="543">
        <f>SUM(D58,D60,D62:D65)</f>
        <v>55665155.411169097</v>
      </c>
      <c r="E67" s="543">
        <f t="shared" ref="E67:K67" si="7">SUM(E58,E60,E62:E65)</f>
        <v>59713689.223235644</v>
      </c>
      <c r="F67" s="543">
        <f t="shared" si="7"/>
        <v>68600142.606929198</v>
      </c>
      <c r="G67" s="543">
        <f t="shared" si="7"/>
        <v>73045846.316096634</v>
      </c>
      <c r="H67" s="543">
        <f t="shared" si="7"/>
        <v>81936795.402888536</v>
      </c>
      <c r="I67" s="543">
        <f t="shared" si="7"/>
        <v>114755364.1387599</v>
      </c>
      <c r="J67" s="601">
        <f t="shared" si="7"/>
        <v>130896752.52302608</v>
      </c>
      <c r="K67" s="602">
        <f t="shared" si="7"/>
        <v>135958766.96054268</v>
      </c>
    </row>
    <row r="70" spans="1:11">
      <c r="I70" s="138"/>
    </row>
    <row r="71" spans="1:11">
      <c r="I71" s="138"/>
    </row>
    <row r="72" spans="1:11">
      <c r="I72" s="138"/>
    </row>
    <row r="73" spans="1:11">
      <c r="I73" s="138"/>
    </row>
    <row r="74" spans="1:11">
      <c r="I74" s="138"/>
    </row>
  </sheetData>
  <mergeCells count="64">
    <mergeCell ref="A1:B3"/>
    <mergeCell ref="C1:I2"/>
    <mergeCell ref="J1:K1"/>
    <mergeCell ref="J2:K2"/>
    <mergeCell ref="C3:I3"/>
    <mergeCell ref="J3:K3"/>
    <mergeCell ref="A4:B6"/>
    <mergeCell ref="C4:I6"/>
    <mergeCell ref="A7:B7"/>
    <mergeCell ref="A8:B8"/>
    <mergeCell ref="A10:B10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8:B58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9:B59"/>
    <mergeCell ref="A60:B60"/>
    <mergeCell ref="A61:B61"/>
    <mergeCell ref="A66:B66"/>
    <mergeCell ref="A67:B67"/>
  </mergeCells>
  <pageMargins left="0.7" right="0.7" top="0.75" bottom="0.75" header="0.3" footer="0.3"/>
  <pageSetup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74"/>
  <sheetViews>
    <sheetView zoomScale="75" zoomScaleNormal="75" workbookViewId="0">
      <pane ySplit="7" topLeftCell="A50" activePane="bottomLeft" state="frozen"/>
      <selection pane="bottomLeft" activeCell="C71" sqref="C71"/>
    </sheetView>
  </sheetViews>
  <sheetFormatPr baseColWidth="10" defaultRowHeight="15"/>
  <cols>
    <col min="1" max="1" width="28.85546875" style="28" customWidth="1"/>
    <col min="2" max="2" width="26" style="28" customWidth="1"/>
    <col min="3" max="11" width="18.7109375" style="28" customWidth="1"/>
    <col min="12" max="16384" width="11.42578125" style="28"/>
  </cols>
  <sheetData>
    <row r="1" spans="1:11" ht="21" customHeight="1">
      <c r="A1" s="962" t="s">
        <v>97</v>
      </c>
      <c r="B1" s="963"/>
      <c r="C1" s="940" t="s">
        <v>412</v>
      </c>
      <c r="D1" s="894"/>
      <c r="E1" s="894"/>
      <c r="F1" s="894"/>
      <c r="G1" s="894"/>
      <c r="H1" s="894"/>
      <c r="I1" s="941"/>
      <c r="J1" s="956" t="s">
        <v>427</v>
      </c>
      <c r="K1" s="957"/>
    </row>
    <row r="2" spans="1:11" ht="24" customHeight="1">
      <c r="A2" s="964"/>
      <c r="B2" s="965"/>
      <c r="C2" s="942"/>
      <c r="D2" s="896"/>
      <c r="E2" s="896"/>
      <c r="F2" s="896"/>
      <c r="G2" s="896"/>
      <c r="H2" s="896"/>
      <c r="I2" s="943"/>
      <c r="J2" s="958" t="s">
        <v>95</v>
      </c>
      <c r="K2" s="959"/>
    </row>
    <row r="3" spans="1:11" ht="24" customHeight="1" thickBot="1">
      <c r="A3" s="966"/>
      <c r="B3" s="967"/>
      <c r="C3" s="938" t="s">
        <v>413</v>
      </c>
      <c r="D3" s="890"/>
      <c r="E3" s="890"/>
      <c r="F3" s="890"/>
      <c r="G3" s="890"/>
      <c r="H3" s="890"/>
      <c r="I3" s="939"/>
      <c r="J3" s="960">
        <v>41962</v>
      </c>
      <c r="K3" s="961"/>
    </row>
    <row r="4" spans="1:11" ht="15" customHeight="1">
      <c r="A4" s="944" t="s">
        <v>428</v>
      </c>
      <c r="B4" s="945"/>
      <c r="C4" s="988"/>
      <c r="D4" s="989"/>
      <c r="E4" s="989"/>
      <c r="F4" s="989"/>
      <c r="G4" s="989"/>
      <c r="H4" s="989"/>
      <c r="I4" s="989"/>
      <c r="J4" s="565"/>
      <c r="K4" s="566"/>
    </row>
    <row r="5" spans="1:11" ht="15" customHeight="1">
      <c r="A5" s="946"/>
      <c r="B5" s="947"/>
      <c r="C5" s="990"/>
      <c r="D5" s="991"/>
      <c r="E5" s="991"/>
      <c r="F5" s="991"/>
      <c r="G5" s="991"/>
      <c r="H5" s="991"/>
      <c r="I5" s="991"/>
      <c r="J5" s="567"/>
      <c r="K5" s="568"/>
    </row>
    <row r="6" spans="1:11" ht="15.75" thickBot="1">
      <c r="A6" s="948"/>
      <c r="B6" s="949"/>
      <c r="C6" s="992"/>
      <c r="D6" s="993"/>
      <c r="E6" s="993"/>
      <c r="F6" s="993"/>
      <c r="G6" s="993"/>
      <c r="H6" s="993"/>
      <c r="I6" s="993"/>
      <c r="J6" s="569"/>
      <c r="K6" s="570"/>
    </row>
    <row r="7" spans="1:11">
      <c r="A7" s="994" t="s">
        <v>62</v>
      </c>
      <c r="B7" s="995"/>
      <c r="C7" s="582" t="s">
        <v>0</v>
      </c>
      <c r="D7" s="582" t="s">
        <v>1</v>
      </c>
      <c r="E7" s="582" t="s">
        <v>2</v>
      </c>
      <c r="F7" s="582" t="s">
        <v>3</v>
      </c>
      <c r="G7" s="582" t="s">
        <v>4</v>
      </c>
      <c r="H7" s="582" t="s">
        <v>5</v>
      </c>
      <c r="I7" s="582" t="s">
        <v>6</v>
      </c>
      <c r="J7" s="582" t="s">
        <v>7</v>
      </c>
      <c r="K7" s="583" t="s">
        <v>8</v>
      </c>
    </row>
    <row r="8" spans="1:11">
      <c r="A8" s="915"/>
      <c r="B8" s="916"/>
      <c r="C8" s="66"/>
      <c r="D8" s="66"/>
      <c r="E8" s="66"/>
      <c r="F8" s="1"/>
      <c r="G8" s="1"/>
      <c r="H8" s="1"/>
      <c r="I8" s="1"/>
      <c r="J8" s="1"/>
      <c r="K8" s="7"/>
    </row>
    <row r="9" spans="1:11">
      <c r="A9" s="522" t="s">
        <v>32</v>
      </c>
      <c r="B9" s="106"/>
      <c r="C9" s="66"/>
      <c r="D9" s="66"/>
      <c r="E9" s="66"/>
      <c r="F9" s="1"/>
      <c r="G9" s="1"/>
      <c r="H9" s="1"/>
      <c r="I9" s="1"/>
      <c r="J9" s="1"/>
      <c r="K9" s="7"/>
    </row>
    <row r="10" spans="1:11">
      <c r="A10" s="911"/>
      <c r="B10" s="912"/>
      <c r="C10" s="66"/>
      <c r="D10" s="66"/>
      <c r="E10" s="66"/>
      <c r="F10" s="1"/>
      <c r="G10" s="1"/>
      <c r="H10" s="1"/>
      <c r="I10" s="1"/>
      <c r="J10" s="1"/>
      <c r="K10" s="7"/>
    </row>
    <row r="11" spans="1:11">
      <c r="A11" s="922" t="s">
        <v>33</v>
      </c>
      <c r="B11" s="923"/>
      <c r="C11" s="66"/>
      <c r="D11" s="66"/>
      <c r="E11" s="66"/>
      <c r="F11" s="1"/>
      <c r="G11" s="1"/>
      <c r="H11" s="1"/>
      <c r="I11" s="1"/>
      <c r="J11" s="1"/>
      <c r="K11" s="7"/>
    </row>
    <row r="12" spans="1:11">
      <c r="A12" s="921"/>
      <c r="B12" s="657"/>
      <c r="C12" s="66"/>
      <c r="D12" s="66"/>
      <c r="E12" s="66"/>
      <c r="F12" s="1"/>
      <c r="G12" s="1"/>
      <c r="H12" s="1"/>
      <c r="I12" s="1"/>
      <c r="J12" s="1"/>
      <c r="K12" s="7"/>
    </row>
    <row r="13" spans="1:11">
      <c r="A13" s="922" t="s">
        <v>34</v>
      </c>
      <c r="B13" s="923"/>
      <c r="C13" s="66"/>
      <c r="D13" s="66"/>
      <c r="E13" s="66"/>
      <c r="F13" s="1"/>
      <c r="G13" s="1"/>
      <c r="H13" s="1"/>
      <c r="I13" s="1"/>
      <c r="J13" s="1"/>
      <c r="K13" s="7"/>
    </row>
    <row r="14" spans="1:11">
      <c r="A14" s="921" t="s">
        <v>35</v>
      </c>
      <c r="B14" s="657"/>
      <c r="C14" s="57">
        <f>'03-APU-NUEV UNC 2014'!D114</f>
        <v>302073.86135050002</v>
      </c>
      <c r="D14" s="57">
        <f>'03-APU-NUEV UNC 2014'!E114</f>
        <v>302073.86135050002</v>
      </c>
      <c r="E14" s="57">
        <f>'03-APU-NUEV UNC 2014'!F114</f>
        <v>302073.86135050002</v>
      </c>
      <c r="F14" s="35">
        <f>'03-APU-NUEV UNC 2014'!G114</f>
        <v>302073.86135050002</v>
      </c>
      <c r="G14" s="35">
        <f>'03-APU-NUEV UNC 2014'!H114</f>
        <v>302073.86135050002</v>
      </c>
      <c r="H14" s="35">
        <f>'03-APU-NUEV UNC 2014'!I114</f>
        <v>302073.86135050002</v>
      </c>
      <c r="I14" s="35">
        <f>'03-APU-NUEV UNC 2014'!J114</f>
        <v>302073.86135050002</v>
      </c>
      <c r="J14" s="35">
        <f>'03-APU-NUEV UNC 2014'!K114</f>
        <v>302073.86135050002</v>
      </c>
      <c r="K14" s="345">
        <f>'03-APU-NUEV UNC 2014'!L114</f>
        <v>302073.86135050002</v>
      </c>
    </row>
    <row r="15" spans="1:11">
      <c r="A15" s="921" t="s">
        <v>36</v>
      </c>
      <c r="B15" s="657"/>
      <c r="C15" s="57">
        <f>'03-APU-NUEV UNC 2014'!D129</f>
        <v>265686.27339793002</v>
      </c>
      <c r="D15" s="57">
        <f>'03-APU-NUEV UNC 2014'!E129</f>
        <v>265686.27339793002</v>
      </c>
      <c r="E15" s="57">
        <f>'03-APU-NUEV UNC 2014'!F129</f>
        <v>265686.27339793002</v>
      </c>
      <c r="F15" s="35">
        <f>'03-APU-NUEV UNC 2014'!G129</f>
        <v>265686.27339793002</v>
      </c>
      <c r="G15" s="35">
        <f>'03-APU-NUEV UNC 2014'!H129</f>
        <v>265686.27339793002</v>
      </c>
      <c r="H15" s="35">
        <f>'03-APU-NUEV UNC 2014'!I129</f>
        <v>265686.27339793002</v>
      </c>
      <c r="I15" s="35">
        <f>'03-APU-NUEV UNC 2014'!J129</f>
        <v>265686.27339793002</v>
      </c>
      <c r="J15" s="35">
        <f>'03-APU-NUEV UNC 2014'!K129</f>
        <v>265686.27339793002</v>
      </c>
      <c r="K15" s="345">
        <f>'03-APU-NUEV UNC 2014'!L129</f>
        <v>265686.27339793002</v>
      </c>
    </row>
    <row r="16" spans="1:11">
      <c r="A16" s="911"/>
      <c r="B16" s="912"/>
      <c r="C16" s="66"/>
      <c r="D16" s="66"/>
      <c r="E16" s="66"/>
      <c r="F16" s="1"/>
      <c r="G16" s="1"/>
      <c r="H16" s="1"/>
      <c r="I16" s="1"/>
      <c r="J16" s="1"/>
      <c r="K16" s="7"/>
    </row>
    <row r="17" spans="1:11">
      <c r="A17" s="922" t="s">
        <v>63</v>
      </c>
      <c r="B17" s="923"/>
      <c r="C17" s="66"/>
      <c r="D17" s="66"/>
      <c r="E17" s="66"/>
      <c r="F17" s="1"/>
      <c r="G17" s="1"/>
      <c r="H17" s="1"/>
      <c r="I17" s="1"/>
      <c r="J17" s="1"/>
      <c r="K17" s="7"/>
    </row>
    <row r="18" spans="1:11">
      <c r="A18" s="921" t="s">
        <v>37</v>
      </c>
      <c r="B18" s="657"/>
      <c r="C18" s="57">
        <f>'03-APU-NUEV UNC 2014'!D144</f>
        <v>474603.17987826344</v>
      </c>
      <c r="D18" s="57">
        <f>'03-APU-NUEV UNC 2014'!E144</f>
        <v>474603.17987826344</v>
      </c>
      <c r="E18" s="57">
        <f>'03-APU-NUEV UNC 2014'!F144</f>
        <v>474603.17987826344</v>
      </c>
      <c r="F18" s="35">
        <f>'03-APU-NUEV UNC 2014'!D144</f>
        <v>474603.17987826344</v>
      </c>
      <c r="G18" s="35">
        <f>'03-APU-NUEV UNC 2014'!H144</f>
        <v>474603.17987826344</v>
      </c>
      <c r="H18" s="35">
        <f>'03-APU-NUEV UNC 2014'!I144</f>
        <v>474603.17987826344</v>
      </c>
      <c r="I18" s="35">
        <f>'03-APU-NUEV UNC 2014'!J144</f>
        <v>474603.17987826344</v>
      </c>
      <c r="J18" s="35">
        <f>'03-APU-NUEV UNC 2014'!K144</f>
        <v>474603.17987826344</v>
      </c>
      <c r="K18" s="345">
        <f>'03-APU-NUEV UNC 2014'!L144</f>
        <v>474603.17987826344</v>
      </c>
    </row>
    <row r="19" spans="1:11">
      <c r="A19" s="921" t="s">
        <v>64</v>
      </c>
      <c r="B19" s="657"/>
      <c r="C19" s="57">
        <f>'03-APU-NUEV UNC 2014'!D160</f>
        <v>740289.45327619347</v>
      </c>
      <c r="D19" s="57">
        <f>'03-APU-NUEV UNC 2014'!E160</f>
        <v>740289.45327619347</v>
      </c>
      <c r="E19" s="57">
        <f>'03-APU-NUEV UNC 2014'!F160</f>
        <v>740289.45327619347</v>
      </c>
      <c r="F19" s="35">
        <f>'03-APU-NUEV UNC 2014'!G160</f>
        <v>740289.45327619347</v>
      </c>
      <c r="G19" s="35">
        <f>'03-APU-NUEV UNC 2014'!H160</f>
        <v>740289.45327619347</v>
      </c>
      <c r="H19" s="35">
        <f>'03-APU-NUEV UNC 2014'!I160</f>
        <v>740289.45327619347</v>
      </c>
      <c r="I19" s="35">
        <f>'03-APU-NUEV UNC 2014'!J160</f>
        <v>740289.45327619347</v>
      </c>
      <c r="J19" s="35">
        <f>'03-APU-NUEV UNC 2014'!K160</f>
        <v>740289.45327619347</v>
      </c>
      <c r="K19" s="345">
        <f>'03-APU-NUEV UNC 2014'!L160</f>
        <v>740289.45327619347</v>
      </c>
    </row>
    <row r="20" spans="1:11">
      <c r="A20" s="921" t="s">
        <v>38</v>
      </c>
      <c r="B20" s="657"/>
      <c r="C20" s="57">
        <f>'03-APU-NUEV UNC 2014'!D176</f>
        <v>596995.36707874015</v>
      </c>
      <c r="D20" s="57">
        <f>'03-APU-NUEV UNC 2014'!E176</f>
        <v>596995.36707874015</v>
      </c>
      <c r="E20" s="57">
        <f>'03-APU-NUEV UNC 2014'!F176</f>
        <v>596995.36707874015</v>
      </c>
      <c r="F20" s="35">
        <f>'03-APU-NUEV UNC 2014'!G176</f>
        <v>596995.36707874015</v>
      </c>
      <c r="G20" s="35">
        <f>'03-APU-NUEV UNC 2014'!H176</f>
        <v>596995.36707874015</v>
      </c>
      <c r="H20" s="35">
        <f>'03-APU-NUEV UNC 2014'!I176</f>
        <v>596995.36707874015</v>
      </c>
      <c r="I20" s="35">
        <f>'03-APU-NUEV UNC 2014'!J176</f>
        <v>596995.36707874015</v>
      </c>
      <c r="J20" s="35">
        <f>'03-APU-NUEV UNC 2014'!K176</f>
        <v>596995.36707874015</v>
      </c>
      <c r="K20" s="345">
        <f>'03-APU-NUEV UNC 2014'!L176</f>
        <v>596995.36707874015</v>
      </c>
    </row>
    <row r="21" spans="1:11">
      <c r="A21" s="921"/>
      <c r="B21" s="657"/>
      <c r="C21" s="57"/>
      <c r="D21" s="57"/>
      <c r="E21" s="57"/>
      <c r="F21" s="1"/>
      <c r="G21" s="1"/>
      <c r="H21" s="1"/>
      <c r="I21" s="1"/>
      <c r="J21" s="1"/>
      <c r="K21" s="7"/>
    </row>
    <row r="22" spans="1:11">
      <c r="A22" s="922" t="s">
        <v>270</v>
      </c>
      <c r="B22" s="923"/>
      <c r="C22" s="57">
        <f>'03-APU-NUEV UNC 2014'!D212</f>
        <v>387280</v>
      </c>
      <c r="D22" s="57">
        <f>'03-APU-NUEV UNC 2014'!E212</f>
        <v>387280</v>
      </c>
      <c r="E22" s="57">
        <f>'03-APU-NUEV UNC 2014'!F212</f>
        <v>387280</v>
      </c>
      <c r="F22" s="57">
        <f>'02-HH-2014'!$G$51*9.5*4</f>
        <v>2081619.3878984498</v>
      </c>
      <c r="G22" s="57">
        <f>'02-HH-2014'!$G$51*9.5*4</f>
        <v>2081619.3878984498</v>
      </c>
      <c r="H22" s="57">
        <f>'02-HH-2014'!$G$51*9.5*4</f>
        <v>2081619.3878984498</v>
      </c>
      <c r="I22" s="35">
        <f>'02-HH-2014'!$G$51*9.5*4</f>
        <v>2081619.3878984498</v>
      </c>
      <c r="J22" s="35">
        <f>'02-HH-2014'!$G$51*9.5*4</f>
        <v>2081619.3878984498</v>
      </c>
      <c r="K22" s="345">
        <f>'02-HH-2014'!$G$51*9.5*4</f>
        <v>2081619.3878984498</v>
      </c>
    </row>
    <row r="23" spans="1:11">
      <c r="A23" s="921"/>
      <c r="B23" s="657"/>
      <c r="C23" s="57"/>
      <c r="D23" s="57"/>
      <c r="E23" s="57"/>
      <c r="F23" s="32"/>
      <c r="G23" s="1"/>
      <c r="H23" s="1"/>
      <c r="I23" s="1"/>
      <c r="J23" s="1"/>
      <c r="K23" s="7"/>
    </row>
    <row r="24" spans="1:11">
      <c r="A24" s="922" t="s">
        <v>39</v>
      </c>
      <c r="B24" s="923"/>
      <c r="C24" s="57">
        <f>'03-APU-NUEV UNC 2014'!D65</f>
        <v>2198996.3333333335</v>
      </c>
      <c r="D24" s="57">
        <f>'03-APU-NUEV UNC 2014'!E65</f>
        <v>2198996.3333333335</v>
      </c>
      <c r="E24" s="57">
        <f>'03-APU-NUEV UNC 2014'!F65</f>
        <v>2198996.3333333335</v>
      </c>
      <c r="F24" s="35">
        <f>'03-APU-NUEV UNC 2014'!F65</f>
        <v>2198996.3333333335</v>
      </c>
      <c r="G24" s="35">
        <f>'03-APU-NUEV UNC 2014'!G65</f>
        <v>2198996.3333333335</v>
      </c>
      <c r="H24" s="35">
        <f>'03-APU-NUEV UNC 2014'!H65</f>
        <v>2198996.3333333335</v>
      </c>
      <c r="I24" s="35">
        <f>'03-APU-NUEV UNC 2014'!J65</f>
        <v>3021775.666666667</v>
      </c>
      <c r="J24" s="35">
        <f>'03-APU-NUEV UNC 2014'!K65</f>
        <v>3057192.3333333335</v>
      </c>
      <c r="K24" s="345">
        <f>'03-APU-NUEV UNC 2014'!L65</f>
        <v>3092609</v>
      </c>
    </row>
    <row r="25" spans="1:11">
      <c r="A25" s="917"/>
      <c r="B25" s="918"/>
      <c r="C25" s="66"/>
      <c r="D25" s="66"/>
      <c r="E25" s="66"/>
      <c r="F25" s="1"/>
      <c r="G25" s="1"/>
      <c r="H25" s="1"/>
      <c r="I25" s="1"/>
      <c r="J25" s="1"/>
      <c r="K25" s="7"/>
    </row>
    <row r="26" spans="1:11">
      <c r="A26" s="913" t="s">
        <v>12</v>
      </c>
      <c r="B26" s="914"/>
      <c r="C26" s="121">
        <f t="shared" ref="C26:E26" si="0">SUM(C8:C25)</f>
        <v>4965924.4683149606</v>
      </c>
      <c r="D26" s="121">
        <f t="shared" si="0"/>
        <v>4965924.4683149606</v>
      </c>
      <c r="E26" s="121">
        <f t="shared" si="0"/>
        <v>4965924.4683149606</v>
      </c>
      <c r="F26" s="121">
        <f t="shared" ref="F26:H26" si="1">SUM(F8:F25)</f>
        <v>6660263.8562134113</v>
      </c>
      <c r="G26" s="121">
        <f t="shared" si="1"/>
        <v>6660263.8562134113</v>
      </c>
      <c r="H26" s="121">
        <f t="shared" si="1"/>
        <v>6660263.8562134113</v>
      </c>
      <c r="I26" s="121">
        <f>SUM(I14:I15,I18:I20,I22,I24)</f>
        <v>7483043.1895467443</v>
      </c>
      <c r="J26" s="121">
        <f>SUM(J14:J15,J18:J20,J22,J24)</f>
        <v>7518459.8562134113</v>
      </c>
      <c r="K26" s="523">
        <f>SUM(K14:K15,K18:K20,K22,K24)</f>
        <v>7553876.5228800774</v>
      </c>
    </row>
    <row r="27" spans="1:11">
      <c r="A27" s="915"/>
      <c r="B27" s="916"/>
      <c r="C27" s="1"/>
      <c r="D27" s="1"/>
      <c r="E27" s="1"/>
      <c r="F27" s="1"/>
      <c r="G27" s="1"/>
      <c r="H27" s="1"/>
      <c r="I27" s="2"/>
      <c r="J27" s="2"/>
      <c r="K27" s="34"/>
    </row>
    <row r="28" spans="1:11">
      <c r="A28" s="936" t="s">
        <v>44</v>
      </c>
      <c r="B28" s="937"/>
      <c r="C28" s="2"/>
      <c r="D28" s="1"/>
      <c r="E28" s="1"/>
      <c r="F28" s="1"/>
      <c r="G28" s="1"/>
      <c r="H28" s="1"/>
      <c r="I28" s="1"/>
      <c r="J28" s="1"/>
      <c r="K28" s="7"/>
    </row>
    <row r="29" spans="1:11">
      <c r="A29" s="919" t="s">
        <v>65</v>
      </c>
      <c r="B29" s="920"/>
      <c r="C29" s="35">
        <v>12500</v>
      </c>
      <c r="D29" s="35">
        <v>12500</v>
      </c>
      <c r="E29" s="35">
        <v>12500</v>
      </c>
      <c r="F29" s="35">
        <v>12500</v>
      </c>
      <c r="G29" s="35">
        <v>12500</v>
      </c>
      <c r="H29" s="35">
        <v>12500</v>
      </c>
      <c r="I29" s="35">
        <v>12500</v>
      </c>
      <c r="J29" s="35">
        <v>12500</v>
      </c>
      <c r="K29" s="345">
        <v>12500</v>
      </c>
    </row>
    <row r="30" spans="1:11">
      <c r="A30" s="919" t="s">
        <v>66</v>
      </c>
      <c r="B30" s="920"/>
      <c r="C30" s="35">
        <f>'03-APU-NUEV UNC 2014'!G227</f>
        <v>112096.10866666665</v>
      </c>
      <c r="D30" s="35">
        <f>'03-APU-NUEV UNC 2014'!H227</f>
        <v>112096.10866666665</v>
      </c>
      <c r="E30" s="35">
        <f>'03-APU-NUEV UNC 2014'!I227</f>
        <v>112096.10866666665</v>
      </c>
      <c r="F30" s="35">
        <f>'03-APU-NUEV UNC 2014'!J227</f>
        <v>112096.10866666665</v>
      </c>
      <c r="G30" s="35">
        <f>'03-APU-NUEV UNC 2014'!K227</f>
        <v>112096.10866666665</v>
      </c>
      <c r="H30" s="35">
        <f>'03-APU-NUEV UNC 2014'!L227</f>
        <v>112096.10866666665</v>
      </c>
      <c r="I30" s="35">
        <f>'03-APU-NUEV UNC 2014'!J227</f>
        <v>112096.10866666665</v>
      </c>
      <c r="J30" s="35">
        <f>'03-APU-NUEV UNC 2014'!K227</f>
        <v>112096.10866666665</v>
      </c>
      <c r="K30" s="345">
        <f>'03-APU-NUEV UNC 2014'!L227</f>
        <v>112096.10866666665</v>
      </c>
    </row>
    <row r="31" spans="1:11">
      <c r="A31" s="919" t="s">
        <v>67</v>
      </c>
      <c r="B31" s="920"/>
      <c r="C31" s="35">
        <f>'03-APU-NUEV UNC 2014'!G228</f>
        <v>643274</v>
      </c>
      <c r="D31" s="35">
        <f>'03-APU-NUEV UNC 2014'!H228</f>
        <v>643274</v>
      </c>
      <c r="E31" s="35">
        <f>'03-APU-NUEV UNC 2014'!I228</f>
        <v>964911</v>
      </c>
      <c r="F31" s="35">
        <f>'03-APU-NUEV UNC 2014'!J228</f>
        <v>1286548</v>
      </c>
      <c r="G31" s="35">
        <f>'03-APU-NUEV UNC 2014'!K228</f>
        <v>1286548</v>
      </c>
      <c r="H31" s="35">
        <f>'03-APU-NUEV UNC 2014'!L228</f>
        <v>1286548</v>
      </c>
      <c r="I31" s="35">
        <f>'03-APU-NUEV UNC 2014'!J228</f>
        <v>1286548</v>
      </c>
      <c r="J31" s="35">
        <f>'03-APU-NUEV UNC 2014'!K228</f>
        <v>1286548</v>
      </c>
      <c r="K31" s="345">
        <f>'03-APU-NUEV UNC 2014'!L228</f>
        <v>1286548</v>
      </c>
    </row>
    <row r="32" spans="1:11">
      <c r="A32" s="919" t="s">
        <v>47</v>
      </c>
      <c r="B32" s="920"/>
      <c r="C32" s="35">
        <f>'03-APU-NUEV UNC 2014'!D229</f>
        <v>188506</v>
      </c>
      <c r="D32" s="35">
        <f>'03-APU-NUEV UNC 2014'!E229</f>
        <v>188506</v>
      </c>
      <c r="E32" s="35">
        <f>'03-APU-NUEV UNC 2014'!F229</f>
        <v>188506</v>
      </c>
      <c r="F32" s="35">
        <f>'03-APU-NUEV UNC 2014'!G229</f>
        <v>408576.75876240002</v>
      </c>
      <c r="G32" s="35">
        <f>'03-APU-NUEV UNC 2014'!H229</f>
        <v>672573.48968221399</v>
      </c>
      <c r="H32" s="35">
        <f>'03-APU-NUEV UNC 2014'!L229</f>
        <v>2945788.9830931202</v>
      </c>
      <c r="I32" s="35">
        <f>'03-APU-NUEV UNC 2014'!J229</f>
        <v>2680984.9830931202</v>
      </c>
      <c r="J32" s="35">
        <f>'03-APU-NUEV UNC 2014'!K229</f>
        <v>2813386.9830931202</v>
      </c>
      <c r="K32" s="345">
        <f>'03-APU-NUEV UNC 2014'!L229</f>
        <v>2945788.9830931202</v>
      </c>
    </row>
    <row r="33" spans="1:11">
      <c r="A33" s="919" t="s">
        <v>68</v>
      </c>
      <c r="B33" s="920"/>
      <c r="C33" s="35">
        <f>'03-APU-NUEV UNC 2014'!G230</f>
        <v>322273.05143896001</v>
      </c>
      <c r="D33" s="35">
        <f>'03-APU-NUEV UNC 2014'!H230</f>
        <v>322273.05143896001</v>
      </c>
      <c r="E33" s="35">
        <f>'03-APU-NUEV UNC 2014'!I230</f>
        <v>483409.57715844002</v>
      </c>
      <c r="F33" s="35">
        <f>'03-APU-NUEV UNC 2014'!J230</f>
        <v>644546.10287792003</v>
      </c>
      <c r="G33" s="35">
        <f>'03-APU-NUEV UNC 2014'!K230</f>
        <v>644546.10287792003</v>
      </c>
      <c r="H33" s="35">
        <f>'03-APU-NUEV UNC 2014'!L230</f>
        <v>644546.10287792003</v>
      </c>
      <c r="I33" s="35">
        <f>'03-APU-NUEV UNC 2014'!J230</f>
        <v>644546.10287792003</v>
      </c>
      <c r="J33" s="35">
        <f>'03-APU-NUEV UNC 2014'!K230</f>
        <v>644546.10287792003</v>
      </c>
      <c r="K33" s="345">
        <f>'03-APU-NUEV UNC 2014'!L230</f>
        <v>644546.10287792003</v>
      </c>
    </row>
    <row r="34" spans="1:11">
      <c r="A34" s="919" t="s">
        <v>49</v>
      </c>
      <c r="B34" s="920"/>
      <c r="C34" s="35">
        <f>'03-APU-NUEV UNC 2014'!D231</f>
        <v>597786.66666666663</v>
      </c>
      <c r="D34" s="35">
        <f>'03-APU-NUEV UNC 2014'!E231</f>
        <v>597786.66666666663</v>
      </c>
      <c r="E34" s="35">
        <f>'03-APU-NUEV UNC 2014'!F231</f>
        <v>597786.66666666663</v>
      </c>
      <c r="F34" s="35">
        <f>'03-APU-NUEV UNC 2014'!G231</f>
        <v>597786.66666666663</v>
      </c>
      <c r="G34" s="35">
        <f>'03-APU-NUEV UNC 2014'!H231</f>
        <v>597786.66666666663</v>
      </c>
      <c r="H34" s="35">
        <f>'03-APU-NUEV UNC 2014'!L231</f>
        <v>523160</v>
      </c>
      <c r="I34" s="35">
        <f>'03-APU-NUEV UNC 2014'!J231</f>
        <v>407160</v>
      </c>
      <c r="J34" s="35">
        <f>'03-APU-NUEV UNC 2014'!K231</f>
        <v>465160</v>
      </c>
      <c r="K34" s="345">
        <f>'03-APU-NUEV UNC 2014'!L231</f>
        <v>523160</v>
      </c>
    </row>
    <row r="35" spans="1:11">
      <c r="A35" s="919" t="s">
        <v>50</v>
      </c>
      <c r="B35" s="920"/>
      <c r="C35" s="35">
        <f>'03-APU-NUEV UNC 2014'!G232</f>
        <v>76000</v>
      </c>
      <c r="D35" s="35">
        <f>'03-APU-NUEV UNC 2014'!H232</f>
        <v>76000</v>
      </c>
      <c r="E35" s="35">
        <f>'03-APU-NUEV UNC 2014'!I232</f>
        <v>114000</v>
      </c>
      <c r="F35" s="35">
        <f>'03-APU-NUEV UNC 2014'!J232</f>
        <v>152000</v>
      </c>
      <c r="G35" s="35">
        <f>'03-APU-NUEV UNC 2014'!K232</f>
        <v>152000</v>
      </c>
      <c r="H35" s="35">
        <f>'03-APU-NUEV UNC 2014'!L232</f>
        <v>152000</v>
      </c>
      <c r="I35" s="35">
        <f>'03-APU-NUEV UNC 2014'!J232</f>
        <v>152000</v>
      </c>
      <c r="J35" s="35">
        <f>'03-APU-NUEV UNC 2014'!K232</f>
        <v>152000</v>
      </c>
      <c r="K35" s="345">
        <f>'03-APU-NUEV UNC 2014'!L232</f>
        <v>152000</v>
      </c>
    </row>
    <row r="36" spans="1:11">
      <c r="A36" s="919" t="s">
        <v>51</v>
      </c>
      <c r="B36" s="920"/>
      <c r="C36" s="35">
        <f>'03-APU-NUEV UNC 2014'!G233</f>
        <v>257333.33333333334</v>
      </c>
      <c r="D36" s="35">
        <f>'03-APU-NUEV UNC 2014'!H233</f>
        <v>273333.33333333331</v>
      </c>
      <c r="E36" s="35">
        <f>'03-APU-NUEV UNC 2014'!I233</f>
        <v>136666.66666666666</v>
      </c>
      <c r="F36" s="35">
        <f>'03-APU-NUEV UNC 2014'!J233</f>
        <v>136666.66666666666</v>
      </c>
      <c r="G36" s="35">
        <f>'03-APU-NUEV UNC 2014'!K233</f>
        <v>136666.66666666666</v>
      </c>
      <c r="H36" s="35">
        <f>'03-APU-NUEV UNC 2014'!L233</f>
        <v>136666.66666666666</v>
      </c>
      <c r="I36" s="35">
        <f>'03-APU-NUEV UNC 2014'!J233</f>
        <v>136666.66666666666</v>
      </c>
      <c r="J36" s="35">
        <f>'03-APU-NUEV UNC 2014'!K233</f>
        <v>136666.66666666666</v>
      </c>
      <c r="K36" s="345">
        <f>'03-APU-NUEV UNC 2014'!L233</f>
        <v>136666.66666666666</v>
      </c>
    </row>
    <row r="37" spans="1:11">
      <c r="A37" s="919" t="s">
        <v>69</v>
      </c>
      <c r="B37" s="920"/>
      <c r="C37" s="35">
        <f>'03-APU-NUEV UNC 2014'!G234</f>
        <v>206118.19571865443</v>
      </c>
      <c r="D37" s="35">
        <f>'03-APU-NUEV UNC 2014'!H234</f>
        <v>206118.19571865443</v>
      </c>
      <c r="E37" s="35">
        <f>'03-APU-NUEV UNC 2014'!I234</f>
        <v>206118.19571865443</v>
      </c>
      <c r="F37" s="35">
        <f>'03-APU-NUEV UNC 2014'!J234</f>
        <v>206118.19571865443</v>
      </c>
      <c r="G37" s="35">
        <f>'03-APU-NUEV UNC 2014'!K234</f>
        <v>206118.19571865443</v>
      </c>
      <c r="H37" s="35">
        <f>'03-APU-NUEV UNC 2014'!L234</f>
        <v>206118.19571865443</v>
      </c>
      <c r="I37" s="35">
        <f>'03-APU-NUEV UNC 2014'!J234</f>
        <v>206118.19571865443</v>
      </c>
      <c r="J37" s="35">
        <f>'03-APU-NUEV UNC 2014'!K234</f>
        <v>206118.19571865443</v>
      </c>
      <c r="K37" s="345">
        <f>'03-APU-NUEV UNC 2014'!L234</f>
        <v>206118.19571865443</v>
      </c>
    </row>
    <row r="38" spans="1:11" ht="29.25" customHeight="1">
      <c r="A38" s="699" t="s">
        <v>70</v>
      </c>
      <c r="B38" s="781"/>
      <c r="C38" s="35">
        <f>'03-APU-NUEV UNC 2014'!G235</f>
        <v>322273.05143896001</v>
      </c>
      <c r="D38" s="35">
        <f>'03-APU-NUEV UNC 2014'!H235</f>
        <v>322273.05143896001</v>
      </c>
      <c r="E38" s="35">
        <f>'03-APU-NUEV UNC 2014'!I235</f>
        <v>483409.57715844002</v>
      </c>
      <c r="F38" s="35">
        <f>'03-APU-NUEV UNC 2014'!J235</f>
        <v>644546.10287792003</v>
      </c>
      <c r="G38" s="35">
        <f>'03-APU-NUEV UNC 2014'!K235</f>
        <v>644546.10287792003</v>
      </c>
      <c r="H38" s="35">
        <f>'03-APU-NUEV UNC 2014'!L235</f>
        <v>644546.10287792003</v>
      </c>
      <c r="I38" s="35">
        <f>'03-APU-NUEV UNC 2014'!J235</f>
        <v>644546.10287792003</v>
      </c>
      <c r="J38" s="35">
        <f>'03-APU-NUEV UNC 2014'!K235</f>
        <v>644546.10287792003</v>
      </c>
      <c r="K38" s="345">
        <f>'03-APU-NUEV UNC 2014'!L235</f>
        <v>644546.10287792003</v>
      </c>
    </row>
    <row r="39" spans="1:11">
      <c r="A39" s="917"/>
      <c r="B39" s="918"/>
      <c r="C39" s="1"/>
      <c r="D39" s="1"/>
      <c r="E39" s="1"/>
      <c r="F39" s="1"/>
      <c r="G39" s="1"/>
      <c r="H39" s="1"/>
      <c r="I39" s="1"/>
      <c r="J39" s="1"/>
      <c r="K39" s="7"/>
    </row>
    <row r="40" spans="1:11">
      <c r="A40" s="913" t="s">
        <v>43</v>
      </c>
      <c r="B40" s="914"/>
      <c r="C40" s="104">
        <f>SUM(C28,C29,C30,C31,C32,C33,C34,C35,C36,C37,C38)</f>
        <v>2738160.4072632408</v>
      </c>
      <c r="D40" s="104">
        <f>SUM(D28,D29,D30,D31,D32,D33,D34,D35,D36,D37,D38)</f>
        <v>2754160.4072632408</v>
      </c>
      <c r="E40" s="104">
        <f>SUM(E29:E38)</f>
        <v>3299403.792035534</v>
      </c>
      <c r="F40" s="104">
        <f t="shared" ref="F40:K40" si="2">SUM(F28,F29,F30,F31,F32,F33,F34,F35,F36,F37,F38)</f>
        <v>4201384.602236894</v>
      </c>
      <c r="G40" s="104">
        <f t="shared" si="2"/>
        <v>4465381.3331567086</v>
      </c>
      <c r="H40" s="104">
        <f t="shared" si="2"/>
        <v>6663970.1599009484</v>
      </c>
      <c r="I40" s="104">
        <f t="shared" si="2"/>
        <v>6283166.1599009484</v>
      </c>
      <c r="J40" s="104">
        <f t="shared" si="2"/>
        <v>6473568.1599009484</v>
      </c>
      <c r="K40" s="526">
        <f t="shared" si="2"/>
        <v>6663970.1599009484</v>
      </c>
    </row>
    <row r="41" spans="1:11">
      <c r="A41" s="911"/>
      <c r="B41" s="912"/>
      <c r="C41" s="66"/>
      <c r="D41" s="66"/>
      <c r="E41" s="66"/>
      <c r="F41" s="66"/>
      <c r="G41" s="66"/>
      <c r="H41" s="66"/>
      <c r="I41" s="2"/>
      <c r="J41" s="2"/>
      <c r="K41" s="34"/>
    </row>
    <row r="42" spans="1:11">
      <c r="A42" s="922" t="s">
        <v>54</v>
      </c>
      <c r="B42" s="923"/>
      <c r="C42" s="66"/>
      <c r="D42" s="66"/>
      <c r="E42" s="66"/>
      <c r="F42" s="66"/>
      <c r="G42" s="66"/>
      <c r="H42" s="66"/>
      <c r="I42" s="66"/>
      <c r="J42" s="66"/>
      <c r="K42" s="525"/>
    </row>
    <row r="43" spans="1:11">
      <c r="A43" s="921" t="s">
        <v>71</v>
      </c>
      <c r="B43" s="657"/>
      <c r="C43" s="35">
        <f>'03-APU-NUEV UNC 2014'!D13</f>
        <v>1306350.2762524625</v>
      </c>
      <c r="D43" s="35">
        <f>'03-APU-NUEV UNC 2014'!E13</f>
        <v>1306350.2762524625</v>
      </c>
      <c r="E43" s="35">
        <f>'03-APU-NUEV UNC 2014'!F13</f>
        <v>1306350.2762524625</v>
      </c>
      <c r="F43" s="35">
        <f>'03-APU-NUEV UNC 2014'!G13</f>
        <v>1306350.2762524625</v>
      </c>
      <c r="G43" s="35">
        <f>'03-APU-NUEV UNC 2014'!H13</f>
        <v>1306350.2762524625</v>
      </c>
      <c r="H43" s="35">
        <f>'03-APU-NUEV UNC 2014'!I13</f>
        <v>1959525.414378694</v>
      </c>
      <c r="I43" s="35">
        <f>'03-APU-NUEV UNC 2014'!J13</f>
        <v>2536271.3875049255</v>
      </c>
      <c r="J43" s="35">
        <f>'03-APU-NUEV UNC 2014'!K13</f>
        <v>2536271.3875049255</v>
      </c>
      <c r="K43" s="345">
        <f>'03-APU-NUEV UNC 2014'!L13</f>
        <v>2536271.3875049255</v>
      </c>
    </row>
    <row r="44" spans="1:11">
      <c r="A44" s="911"/>
      <c r="B44" s="912"/>
      <c r="C44" s="66"/>
      <c r="D44" s="66"/>
      <c r="E44" s="66"/>
      <c r="F44" s="66"/>
      <c r="G44" s="66"/>
      <c r="H44" s="66"/>
      <c r="I44" s="66"/>
      <c r="J44" s="66"/>
      <c r="K44" s="525"/>
    </row>
    <row r="45" spans="1:11">
      <c r="A45" s="913" t="s">
        <v>12</v>
      </c>
      <c r="B45" s="914"/>
      <c r="C45" s="104">
        <f>C43</f>
        <v>1306350.2762524625</v>
      </c>
      <c r="D45" s="104">
        <f t="shared" ref="D45:H45" si="3">D43</f>
        <v>1306350.2762524625</v>
      </c>
      <c r="E45" s="104">
        <f t="shared" si="3"/>
        <v>1306350.2762524625</v>
      </c>
      <c r="F45" s="104">
        <f t="shared" si="3"/>
        <v>1306350.2762524625</v>
      </c>
      <c r="G45" s="104">
        <f t="shared" si="3"/>
        <v>1306350.2762524625</v>
      </c>
      <c r="H45" s="104">
        <f t="shared" si="3"/>
        <v>1959525.414378694</v>
      </c>
      <c r="I45" s="104">
        <f>I43</f>
        <v>2536271.3875049255</v>
      </c>
      <c r="J45" s="104">
        <f>J43</f>
        <v>2536271.3875049255</v>
      </c>
      <c r="K45" s="526">
        <f>K43</f>
        <v>2536271.3875049255</v>
      </c>
    </row>
    <row r="46" spans="1:11">
      <c r="A46" s="911"/>
      <c r="B46" s="912"/>
      <c r="C46" s="66"/>
      <c r="D46" s="66"/>
      <c r="E46" s="66"/>
      <c r="F46" s="66"/>
      <c r="G46" s="66"/>
      <c r="H46" s="66"/>
      <c r="I46" s="66"/>
      <c r="J46" s="66"/>
      <c r="K46" s="525"/>
    </row>
    <row r="47" spans="1:11">
      <c r="A47" s="922" t="s">
        <v>55</v>
      </c>
      <c r="B47" s="923"/>
      <c r="C47" s="35"/>
      <c r="D47" s="35"/>
      <c r="E47" s="35"/>
      <c r="F47" s="35"/>
      <c r="G47" s="35"/>
      <c r="H47" s="35"/>
      <c r="I47" s="35"/>
      <c r="J47" s="35"/>
      <c r="K47" s="345"/>
    </row>
    <row r="48" spans="1:11">
      <c r="A48" s="921" t="s">
        <v>56</v>
      </c>
      <c r="B48" s="657"/>
      <c r="C48" s="35">
        <f>'03-APU-NUEV UNC 2014'!G219</f>
        <v>79304.433856434829</v>
      </c>
      <c r="D48" s="35">
        <f>'03-APU-NUEV UNC 2014'!H219</f>
        <v>198261.75775074653</v>
      </c>
      <c r="E48" s="35">
        <f>'03-APU-NUEV UNC 2014'!I219</f>
        <v>198261.75775074653</v>
      </c>
      <c r="F48" s="35">
        <f>'03-APU-NUEV UNC 2014'!J219</f>
        <v>198261.75775074653</v>
      </c>
      <c r="G48" s="35">
        <f>'03-APU-NUEV UNC 2014'!K219</f>
        <v>198261.75775074653</v>
      </c>
      <c r="H48" s="35">
        <f>'03-APU-NUEV UNC 2014'!L219</f>
        <v>198261.75775074653</v>
      </c>
      <c r="I48" s="35">
        <f>'03-APU-NUEV UNC 2014'!J219</f>
        <v>198261.75775074653</v>
      </c>
      <c r="J48" s="35">
        <f>'03-APU-NUEV UNC 2014'!K219</f>
        <v>198261.75775074653</v>
      </c>
      <c r="K48" s="345">
        <f>'03-APU-NUEV UNC 2014'!L219</f>
        <v>198261.75775074653</v>
      </c>
    </row>
    <row r="49" spans="1:11">
      <c r="A49" s="911"/>
      <c r="B49" s="912"/>
      <c r="C49" s="66"/>
      <c r="D49" s="66"/>
      <c r="E49" s="66"/>
      <c r="F49" s="66"/>
      <c r="G49" s="66"/>
      <c r="H49" s="66"/>
      <c r="I49" s="66"/>
      <c r="J49" s="66"/>
      <c r="K49" s="525"/>
    </row>
    <row r="50" spans="1:11">
      <c r="A50" s="913" t="s">
        <v>43</v>
      </c>
      <c r="B50" s="914"/>
      <c r="C50" s="104">
        <f>C48</f>
        <v>79304.433856434829</v>
      </c>
      <c r="D50" s="104">
        <f t="shared" ref="D50:H50" si="4">D48</f>
        <v>198261.75775074653</v>
      </c>
      <c r="E50" s="104">
        <f t="shared" si="4"/>
        <v>198261.75775074653</v>
      </c>
      <c r="F50" s="104">
        <f t="shared" si="4"/>
        <v>198261.75775074653</v>
      </c>
      <c r="G50" s="104">
        <f t="shared" si="4"/>
        <v>198261.75775074653</v>
      </c>
      <c r="H50" s="104">
        <f t="shared" si="4"/>
        <v>198261.75775074653</v>
      </c>
      <c r="I50" s="104">
        <f>I48</f>
        <v>198261.75775074653</v>
      </c>
      <c r="J50" s="104">
        <f>J48</f>
        <v>198261.75775074653</v>
      </c>
      <c r="K50" s="526">
        <f>K48</f>
        <v>198261.75775074653</v>
      </c>
    </row>
    <row r="51" spans="1:11">
      <c r="A51" s="917"/>
      <c r="B51" s="918"/>
      <c r="C51" s="1"/>
      <c r="D51" s="1"/>
      <c r="E51" s="1"/>
      <c r="F51" s="1"/>
      <c r="G51" s="1"/>
      <c r="H51" s="1"/>
      <c r="I51" s="1"/>
      <c r="J51" s="1"/>
      <c r="K51" s="7"/>
    </row>
    <row r="52" spans="1:11">
      <c r="A52" s="922" t="s">
        <v>57</v>
      </c>
      <c r="B52" s="923"/>
      <c r="C52" s="66"/>
      <c r="D52" s="66"/>
      <c r="E52" s="66"/>
      <c r="F52" s="66"/>
      <c r="G52" s="66"/>
      <c r="H52" s="66"/>
      <c r="I52" s="66"/>
      <c r="J52" s="66"/>
      <c r="K52" s="525"/>
    </row>
    <row r="53" spans="1:11" s="5" customFormat="1">
      <c r="A53" s="919" t="s">
        <v>429</v>
      </c>
      <c r="B53" s="920"/>
      <c r="C53" s="580">
        <f>'03-APU-NUEV UNC 2014'!D202</f>
        <v>35917.131427959794</v>
      </c>
      <c r="D53" s="580">
        <f>'03-APU-NUEV UNC 2014'!E202</f>
        <v>48410.046707250061</v>
      </c>
      <c r="E53" s="580">
        <f>'03-APU-NUEV UNC 2014'!F202</f>
        <v>55976.959999999999</v>
      </c>
      <c r="F53" s="580">
        <f>'03-APU-NUEV UNC 2014'!G202</f>
        <v>108459.99999999999</v>
      </c>
      <c r="G53" s="223">
        <f>'03-APU-NUEV UNC 2014'!H202</f>
        <v>127599.99999999999</v>
      </c>
      <c r="H53" s="223">
        <f>'03-APU-NUEV UNC 2014'!I202</f>
        <v>133708.56</v>
      </c>
      <c r="I53" s="223">
        <f>'03-APU-NUEV UNC 2014'!J202</f>
        <v>147778.19999999998</v>
      </c>
      <c r="J53" s="223">
        <f>'03-APU-NUEV UNC 2014'!K202</f>
        <v>177336.15999999997</v>
      </c>
      <c r="K53" s="235">
        <f>'03-APU-NUEV UNC 2014'!L202</f>
        <v>225578.42559999996</v>
      </c>
    </row>
    <row r="54" spans="1:11">
      <c r="A54" s="921" t="s">
        <v>61</v>
      </c>
      <c r="B54" s="657"/>
      <c r="C54" s="35">
        <f>'03-APU-NUEV UNC 2014'!G365</f>
        <v>2917600.5499588801</v>
      </c>
      <c r="D54" s="35">
        <f>'03-APU-NUEV UNC 2014'!H365</f>
        <v>2755051.2982996223</v>
      </c>
      <c r="E54" s="35">
        <f>'03-APU-NUEV UNC 2014'!I365</f>
        <v>3243529.6705971505</v>
      </c>
      <c r="F54" s="35">
        <f>'03-APU-NUEV UNC 2014'!J365</f>
        <v>3342085.0407136986</v>
      </c>
      <c r="G54" s="35">
        <f>'03-APU-NUEV UNC 2014'!K365</f>
        <v>3400274.0245533586</v>
      </c>
      <c r="H54" s="35">
        <f>'03-APU-NUEV UNC 2014'!L365</f>
        <v>3856677.3753590365</v>
      </c>
      <c r="I54" s="35">
        <f>'03-APU-NUEV UNC 2014'!J365</f>
        <v>3342085.0407136986</v>
      </c>
      <c r="J54" s="35">
        <f>'03-APU-NUEV UNC 2014'!K365</f>
        <v>3400274.0245533586</v>
      </c>
      <c r="K54" s="345">
        <f>'03-APU-NUEV UNC 2014'!L365</f>
        <v>3856677.3753590365</v>
      </c>
    </row>
    <row r="55" spans="1:11">
      <c r="A55" s="917"/>
      <c r="B55" s="918"/>
      <c r="C55" s="1"/>
      <c r="D55" s="1"/>
      <c r="E55" s="1"/>
      <c r="F55" s="1"/>
      <c r="G55" s="1"/>
      <c r="H55" s="1"/>
      <c r="I55" s="1"/>
      <c r="J55" s="1"/>
      <c r="K55" s="7"/>
    </row>
    <row r="56" spans="1:11">
      <c r="A56" s="913" t="s">
        <v>12</v>
      </c>
      <c r="B56" s="914"/>
      <c r="C56" s="104">
        <f>SUM(C53:C55)</f>
        <v>2953517.6813868401</v>
      </c>
      <c r="D56" s="104">
        <f t="shared" ref="D56:H56" si="5">SUM(D53:D55)</f>
        <v>2803461.3450068724</v>
      </c>
      <c r="E56" s="104">
        <f t="shared" si="5"/>
        <v>3299506.6305971504</v>
      </c>
      <c r="F56" s="104">
        <f t="shared" si="5"/>
        <v>3450545.0407136986</v>
      </c>
      <c r="G56" s="104">
        <f t="shared" si="5"/>
        <v>3527874.0245533586</v>
      </c>
      <c r="H56" s="104">
        <f t="shared" si="5"/>
        <v>3990385.9353590365</v>
      </c>
      <c r="I56" s="104">
        <f>SUM(I53,I54)</f>
        <v>3489863.2407136988</v>
      </c>
      <c r="J56" s="104">
        <f>SUM(J53,J54)</f>
        <v>3577610.1845533587</v>
      </c>
      <c r="K56" s="526">
        <f>SUM(K53,K54)</f>
        <v>4082255.8009590367</v>
      </c>
    </row>
    <row r="57" spans="1:11">
      <c r="A57" s="986"/>
      <c r="B57" s="987"/>
      <c r="C57" s="4"/>
      <c r="D57" s="4"/>
      <c r="E57" s="4"/>
      <c r="F57" s="4"/>
      <c r="G57" s="4"/>
      <c r="H57" s="4"/>
      <c r="I57" s="4"/>
      <c r="J57" s="4"/>
      <c r="K57" s="137"/>
    </row>
    <row r="58" spans="1:11">
      <c r="A58" s="984" t="s">
        <v>440</v>
      </c>
      <c r="B58" s="985"/>
      <c r="C58" s="581">
        <f t="shared" ref="C58:H58" si="6">SUM(C56,C50,C45,C40,C26)</f>
        <v>12043257.267073939</v>
      </c>
      <c r="D58" s="581">
        <f t="shared" si="6"/>
        <v>12028158.254588284</v>
      </c>
      <c r="E58" s="581">
        <f t="shared" si="6"/>
        <v>13069446.924950853</v>
      </c>
      <c r="F58" s="581">
        <f t="shared" si="6"/>
        <v>15816805.533167211</v>
      </c>
      <c r="G58" s="581">
        <f t="shared" si="6"/>
        <v>16158131.247926688</v>
      </c>
      <c r="H58" s="581">
        <f t="shared" si="6"/>
        <v>19472407.123602837</v>
      </c>
      <c r="I58" s="581">
        <f>SUM(I26,I40,I45,I50,I56)</f>
        <v>19990605.735417064</v>
      </c>
      <c r="J58" s="581">
        <f>SUM(J56,J50,J45,J40,J26)</f>
        <v>20304171.34592339</v>
      </c>
      <c r="K58" s="584">
        <f>SUM(K56,K50,K45,K40,K26)</f>
        <v>21034635.628995735</v>
      </c>
    </row>
    <row r="59" spans="1:11" ht="15.75" thickBot="1">
      <c r="A59" s="879"/>
      <c r="B59" s="981"/>
      <c r="C59" s="504"/>
      <c r="D59" s="504"/>
      <c r="E59" s="504"/>
      <c r="F59" s="504"/>
      <c r="G59" s="504"/>
      <c r="H59" s="504"/>
      <c r="I59" s="536"/>
      <c r="J59" s="536"/>
      <c r="K59" s="537"/>
    </row>
    <row r="60" spans="1:11" ht="15.75" thickBot="1">
      <c r="A60" s="982" t="s">
        <v>13</v>
      </c>
      <c r="B60" s="983"/>
      <c r="C60" s="539">
        <f>'05-ED-2014'!C21</f>
        <v>3253159.0608565337</v>
      </c>
      <c r="D60" s="539">
        <f>'05-ED-2014'!D21</f>
        <v>3836890.8074334702</v>
      </c>
      <c r="E60" s="539">
        <f>'05-ED-2014'!E21</f>
        <v>5354351.4922799291</v>
      </c>
      <c r="F60" s="539">
        <f>'05-ED-2014'!F21</f>
        <v>6970712.9568290627</v>
      </c>
      <c r="G60" s="539">
        <f>'05-ED-2014'!G21</f>
        <v>10329163.973237552</v>
      </c>
      <c r="H60" s="539">
        <f>'05-ED-2014'!H21</f>
        <v>14400654.763502076</v>
      </c>
      <c r="I60" s="539">
        <f>'05-ED-2014'!I21</f>
        <v>19393094.791387334</v>
      </c>
      <c r="J60" s="539">
        <f>'05-ED-2014'!J21</f>
        <v>25207669.311813526</v>
      </c>
      <c r="K60" s="540">
        <f>'05-ED-2014'!K21</f>
        <v>31845116.990092896</v>
      </c>
    </row>
    <row r="61" spans="1:11">
      <c r="A61" s="973"/>
      <c r="B61" s="974"/>
      <c r="C61" s="505"/>
      <c r="D61" s="505"/>
      <c r="E61" s="505"/>
      <c r="F61" s="505"/>
      <c r="G61" s="505"/>
      <c r="H61" s="505"/>
      <c r="I61" s="505"/>
      <c r="J61" s="505"/>
      <c r="K61" s="538"/>
    </row>
    <row r="62" spans="1:11">
      <c r="A62" s="125" t="s">
        <v>214</v>
      </c>
      <c r="B62" s="123">
        <v>0.1</v>
      </c>
      <c r="C62" s="519">
        <f>SUM(C58,C60)*B62</f>
        <v>1529641.6327930475</v>
      </c>
      <c r="D62" s="519">
        <f>SUM(D58,D60)*B62</f>
        <v>1586504.9062021757</v>
      </c>
      <c r="E62" s="519">
        <f>SUM(E58,E60)*B62</f>
        <v>1842379.8417230782</v>
      </c>
      <c r="F62" s="519">
        <f>SUM(F58,F60)*B62</f>
        <v>2278751.8489996274</v>
      </c>
      <c r="G62" s="519">
        <f>SUM(G58,G60)*B62</f>
        <v>2648729.5221164245</v>
      </c>
      <c r="H62" s="519">
        <f>SUM(H58,H60)*B62</f>
        <v>3387306.1887104916</v>
      </c>
      <c r="I62" s="588">
        <f>SUM(I58,I60)*B62</f>
        <v>3938370.0526804402</v>
      </c>
      <c r="J62" s="588">
        <f>SUM(J58,J60)*B62</f>
        <v>4551184.0657736911</v>
      </c>
      <c r="K62" s="589">
        <f>SUM(K58,K60)*B62</f>
        <v>5287975.2619088637</v>
      </c>
    </row>
    <row r="63" spans="1:11">
      <c r="A63" s="125" t="s">
        <v>268</v>
      </c>
      <c r="B63" s="123">
        <v>0.1</v>
      </c>
      <c r="C63" s="519">
        <f>SUM(C58,C60)*B63</f>
        <v>1529641.6327930475</v>
      </c>
      <c r="D63" s="519">
        <f>SUM(D58,D60)*B63</f>
        <v>1586504.9062021757</v>
      </c>
      <c r="E63" s="519">
        <f>SUM(E58,E60)*B63</f>
        <v>1842379.8417230782</v>
      </c>
      <c r="F63" s="519">
        <f>SUM(F58,F60)*B63</f>
        <v>2278751.8489996274</v>
      </c>
      <c r="G63" s="519">
        <f>SUM(G58,G60)*B63</f>
        <v>2648729.5221164245</v>
      </c>
      <c r="H63" s="519">
        <f>SUM(H58,H60)*B63</f>
        <v>3387306.1887104916</v>
      </c>
      <c r="I63" s="511">
        <f>SUM(I60)*B63</f>
        <v>1939309.4791387336</v>
      </c>
      <c r="J63" s="511">
        <f>SUM(J58,J60)*B63</f>
        <v>4551184.0657736911</v>
      </c>
      <c r="K63" s="530">
        <f>SUM(K58,K60)*B63</f>
        <v>5287975.2619088637</v>
      </c>
    </row>
    <row r="64" spans="1:11">
      <c r="A64" s="125" t="s">
        <v>269</v>
      </c>
      <c r="B64" s="123">
        <v>0.05</v>
      </c>
      <c r="C64" s="519">
        <f>SUM(C58,C60)*B64</f>
        <v>764820.81639652373</v>
      </c>
      <c r="D64" s="519">
        <f>SUM(D58,D60)*B64</f>
        <v>793252.45310108783</v>
      </c>
      <c r="E64" s="519">
        <f>SUM(E58,E60)*B64</f>
        <v>921189.92086153908</v>
      </c>
      <c r="F64" s="519">
        <f>SUM(F58,F60)*B64</f>
        <v>1139375.9244998137</v>
      </c>
      <c r="G64" s="519">
        <f>SUM(G58,G60)*B64</f>
        <v>1324364.7610582123</v>
      </c>
      <c r="H64" s="519">
        <f>SUM(H58,H60)*B64</f>
        <v>1693653.0943552458</v>
      </c>
      <c r="I64" s="511">
        <f>SUM(I60)*B64</f>
        <v>969654.73956936679</v>
      </c>
      <c r="J64" s="511">
        <f>SUM(J58,J60)*B64</f>
        <v>2275592.0328868455</v>
      </c>
      <c r="K64" s="530">
        <f>SUM(K60)*B64</f>
        <v>1592255.849504645</v>
      </c>
    </row>
    <row r="65" spans="1:11">
      <c r="A65" s="125" t="s">
        <v>274</v>
      </c>
      <c r="B65" s="123">
        <v>0.16</v>
      </c>
      <c r="C65" s="519">
        <f>C64*B65</f>
        <v>122371.33062344381</v>
      </c>
      <c r="D65" s="519">
        <f>D64*B65</f>
        <v>126920.39249617406</v>
      </c>
      <c r="E65" s="519">
        <f>E64*B65</f>
        <v>147390.38733784624</v>
      </c>
      <c r="F65" s="519">
        <f>F64*B65</f>
        <v>182300.14791997019</v>
      </c>
      <c r="G65" s="519">
        <f>G64*B65</f>
        <v>211898.36176931395</v>
      </c>
      <c r="H65" s="519">
        <f>H64*B65</f>
        <v>270984.49509683932</v>
      </c>
      <c r="I65" s="511">
        <f>I64*B65</f>
        <v>155144.75833109868</v>
      </c>
      <c r="J65" s="511">
        <f>J64*B65</f>
        <v>364094.72526189528</v>
      </c>
      <c r="K65" s="530">
        <f>K64*B65</f>
        <v>254760.93592074321</v>
      </c>
    </row>
    <row r="66" spans="1:11" ht="15.75" thickBot="1">
      <c r="A66" s="969"/>
      <c r="B66" s="970"/>
      <c r="C66" s="585"/>
      <c r="D66" s="585"/>
      <c r="E66" s="585"/>
      <c r="F66" s="585"/>
      <c r="G66" s="585"/>
      <c r="H66" s="585"/>
      <c r="I66" s="586"/>
      <c r="J66" s="586"/>
      <c r="K66" s="587"/>
    </row>
    <row r="67" spans="1:11" ht="29.25" customHeight="1" thickBot="1">
      <c r="A67" s="930" t="s">
        <v>436</v>
      </c>
      <c r="B67" s="968"/>
      <c r="C67" s="543">
        <f>SUM(C62:C66,C58,C60)</f>
        <v>19242891.740536533</v>
      </c>
      <c r="D67" s="543">
        <f>SUM(D62:D66,D58,D60)</f>
        <v>19958231.720023368</v>
      </c>
      <c r="E67" s="543">
        <f t="shared" ref="E67:K67" si="7">SUM(E58,E60,E62:E65)</f>
        <v>23177138.408876318</v>
      </c>
      <c r="F67" s="543">
        <f t="shared" si="7"/>
        <v>28666698.260415312</v>
      </c>
      <c r="G67" s="543">
        <f t="shared" si="7"/>
        <v>33321017.388224613</v>
      </c>
      <c r="H67" s="543">
        <f t="shared" si="7"/>
        <v>42612311.853977978</v>
      </c>
      <c r="I67" s="543">
        <f t="shared" si="7"/>
        <v>46386179.556524038</v>
      </c>
      <c r="J67" s="543">
        <f t="shared" si="7"/>
        <v>57253895.547433034</v>
      </c>
      <c r="K67" s="544">
        <f t="shared" si="7"/>
        <v>65302719.928331755</v>
      </c>
    </row>
    <row r="70" spans="1:11">
      <c r="I70" s="138"/>
    </row>
    <row r="71" spans="1:11">
      <c r="I71" s="138"/>
    </row>
    <row r="72" spans="1:11">
      <c r="I72" s="138"/>
    </row>
    <row r="73" spans="1:11">
      <c r="I73" s="138"/>
    </row>
    <row r="74" spans="1:11">
      <c r="I74" s="138"/>
    </row>
  </sheetData>
  <mergeCells count="64">
    <mergeCell ref="A1:B3"/>
    <mergeCell ref="C1:I2"/>
    <mergeCell ref="J1:K1"/>
    <mergeCell ref="J2:K2"/>
    <mergeCell ref="C3:I3"/>
    <mergeCell ref="J3:K3"/>
    <mergeCell ref="A4:B6"/>
    <mergeCell ref="C4:I6"/>
    <mergeCell ref="A7:B7"/>
    <mergeCell ref="A8:B8"/>
    <mergeCell ref="A10:B10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8:B58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9:B59"/>
    <mergeCell ref="A60:B60"/>
    <mergeCell ref="A61:B61"/>
    <mergeCell ref="A66:B66"/>
    <mergeCell ref="A67:B67"/>
  </mergeCells>
  <pageMargins left="0.7" right="0.7" top="0.75" bottom="0.75" header="0.3" footer="0.3"/>
  <pageSetup orientation="portrait" horizontalDpi="4294967292" r:id="rId1"/>
  <ignoredErrors>
    <ignoredError sqref="I5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K75"/>
  <sheetViews>
    <sheetView zoomScale="75" zoomScaleNormal="75" workbookViewId="0">
      <pane ySplit="7" topLeftCell="A56" activePane="bottomLeft" state="frozen"/>
      <selection pane="bottomLeft" activeCell="E12" sqref="E12"/>
    </sheetView>
  </sheetViews>
  <sheetFormatPr baseColWidth="10" defaultRowHeight="15"/>
  <cols>
    <col min="1" max="1" width="28.85546875" style="28" customWidth="1"/>
    <col min="2" max="2" width="26" style="28" customWidth="1"/>
    <col min="3" max="3" width="18.7109375" style="28" customWidth="1"/>
    <col min="4" max="4" width="23.42578125" style="28" customWidth="1"/>
    <col min="5" max="5" width="26" style="28" customWidth="1"/>
    <col min="6" max="11" width="18.7109375" style="28" customWidth="1"/>
    <col min="12" max="16384" width="11.42578125" style="28"/>
  </cols>
  <sheetData>
    <row r="1" spans="1:11" ht="21" customHeight="1">
      <c r="A1" s="962" t="s">
        <v>97</v>
      </c>
      <c r="B1" s="963"/>
      <c r="C1" s="940" t="s">
        <v>442</v>
      </c>
      <c r="D1" s="894"/>
      <c r="E1" s="894"/>
      <c r="F1" s="894"/>
      <c r="G1" s="894"/>
      <c r="H1" s="894"/>
      <c r="I1" s="941"/>
      <c r="J1" s="956" t="s">
        <v>444</v>
      </c>
      <c r="K1" s="957"/>
    </row>
    <row r="2" spans="1:11" ht="24" customHeight="1">
      <c r="A2" s="964"/>
      <c r="B2" s="965"/>
      <c r="C2" s="942"/>
      <c r="D2" s="896"/>
      <c r="E2" s="896"/>
      <c r="F2" s="896"/>
      <c r="G2" s="896"/>
      <c r="H2" s="896"/>
      <c r="I2" s="943"/>
      <c r="J2" s="958" t="s">
        <v>95</v>
      </c>
      <c r="K2" s="959"/>
    </row>
    <row r="3" spans="1:11" ht="45.75" customHeight="1" thickBot="1">
      <c r="A3" s="966"/>
      <c r="B3" s="967"/>
      <c r="C3" s="996" t="s">
        <v>443</v>
      </c>
      <c r="D3" s="997"/>
      <c r="E3" s="997"/>
      <c r="F3" s="997"/>
      <c r="G3" s="997"/>
      <c r="H3" s="997"/>
      <c r="I3" s="998"/>
      <c r="J3" s="960">
        <v>41962</v>
      </c>
      <c r="K3" s="961"/>
    </row>
    <row r="4" spans="1:11" ht="15" customHeight="1">
      <c r="A4" s="944" t="s">
        <v>445</v>
      </c>
      <c r="B4" s="945"/>
      <c r="C4" s="999"/>
      <c r="D4" s="1000"/>
      <c r="E4" s="1000"/>
      <c r="F4" s="1000"/>
      <c r="G4" s="1000"/>
      <c r="H4" s="1000"/>
      <c r="I4" s="1000"/>
      <c r="J4" s="553"/>
      <c r="K4" s="554"/>
    </row>
    <row r="5" spans="1:11" ht="15" customHeight="1">
      <c r="A5" s="946"/>
      <c r="B5" s="947"/>
      <c r="C5" s="1001"/>
      <c r="D5" s="1002"/>
      <c r="E5" s="1002"/>
      <c r="F5" s="1002"/>
      <c r="G5" s="1002"/>
      <c r="H5" s="1002"/>
      <c r="I5" s="1002"/>
      <c r="J5" s="555"/>
      <c r="K5" s="556"/>
    </row>
    <row r="6" spans="1:11" ht="15.75" thickBot="1">
      <c r="A6" s="948"/>
      <c r="B6" s="949"/>
      <c r="C6" s="1003"/>
      <c r="D6" s="1004"/>
      <c r="E6" s="1004"/>
      <c r="F6" s="1004"/>
      <c r="G6" s="1004"/>
      <c r="H6" s="1004"/>
      <c r="I6" s="1004"/>
      <c r="J6" s="557"/>
      <c r="K6" s="558"/>
    </row>
    <row r="7" spans="1:11">
      <c r="A7" s="994" t="s">
        <v>62</v>
      </c>
      <c r="B7" s="995"/>
      <c r="C7" s="582" t="s">
        <v>0</v>
      </c>
      <c r="D7" s="582" t="s">
        <v>1</v>
      </c>
      <c r="E7" s="582" t="s">
        <v>2</v>
      </c>
      <c r="F7" s="582" t="s">
        <v>3</v>
      </c>
      <c r="G7" s="582" t="s">
        <v>4</v>
      </c>
      <c r="H7" s="582" t="s">
        <v>5</v>
      </c>
      <c r="I7" s="582" t="s">
        <v>6</v>
      </c>
      <c r="J7" s="582" t="s">
        <v>7</v>
      </c>
      <c r="K7" s="583" t="s">
        <v>8</v>
      </c>
    </row>
    <row r="8" spans="1:11">
      <c r="A8" s="915"/>
      <c r="B8" s="916"/>
      <c r="C8" s="66"/>
      <c r="D8" s="66"/>
      <c r="E8" s="66"/>
      <c r="F8" s="1"/>
      <c r="G8" s="1"/>
      <c r="H8" s="1"/>
      <c r="I8" s="1"/>
      <c r="J8" s="1"/>
      <c r="K8" s="7"/>
    </row>
    <row r="9" spans="1:11">
      <c r="A9" s="522" t="s">
        <v>32</v>
      </c>
      <c r="B9" s="106"/>
      <c r="C9" s="66"/>
      <c r="D9" s="66"/>
      <c r="E9" s="66"/>
      <c r="F9" s="1"/>
      <c r="G9" s="1"/>
      <c r="H9" s="1"/>
      <c r="I9" s="1"/>
      <c r="J9" s="1"/>
      <c r="K9" s="7"/>
    </row>
    <row r="10" spans="1:11">
      <c r="A10" s="911"/>
      <c r="B10" s="912"/>
      <c r="C10" s="66"/>
      <c r="D10" s="66"/>
      <c r="E10" s="66"/>
      <c r="F10" s="1"/>
      <c r="G10" s="1"/>
      <c r="H10" s="1"/>
      <c r="I10" s="1"/>
      <c r="J10" s="1"/>
      <c r="K10" s="7"/>
    </row>
    <row r="11" spans="1:11">
      <c r="A11" s="922" t="s">
        <v>33</v>
      </c>
      <c r="B11" s="923"/>
      <c r="C11" s="66"/>
      <c r="D11" s="66"/>
      <c r="E11" s="66"/>
      <c r="F11" s="1"/>
      <c r="G11" s="1"/>
      <c r="H11" s="1"/>
      <c r="I11" s="1"/>
      <c r="J11" s="1"/>
      <c r="K11" s="7"/>
    </row>
    <row r="12" spans="1:11">
      <c r="A12" s="921"/>
      <c r="B12" s="657"/>
      <c r="C12" s="66"/>
      <c r="D12" s="66"/>
      <c r="E12" s="66"/>
      <c r="F12" s="1"/>
      <c r="G12" s="1"/>
      <c r="H12" s="1"/>
      <c r="I12" s="1"/>
      <c r="J12" s="1"/>
      <c r="K12" s="7"/>
    </row>
    <row r="13" spans="1:11">
      <c r="A13" s="922" t="s">
        <v>34</v>
      </c>
      <c r="B13" s="923"/>
      <c r="C13" s="66"/>
      <c r="D13" s="66"/>
      <c r="E13" s="66"/>
      <c r="F13" s="1"/>
      <c r="G13" s="1"/>
      <c r="H13" s="1"/>
      <c r="I13" s="1"/>
      <c r="J13" s="1"/>
      <c r="K13" s="7"/>
    </row>
    <row r="14" spans="1:11">
      <c r="A14" s="921" t="s">
        <v>35</v>
      </c>
      <c r="B14" s="657"/>
      <c r="C14" s="57">
        <f>'03-APU-NUEV UNC 2014'!D114</f>
        <v>302073.86135050002</v>
      </c>
      <c r="D14" s="57">
        <f>'03-APU-NUEV UNC 2014'!E114</f>
        <v>302073.86135050002</v>
      </c>
      <c r="E14" s="57">
        <f>'03-APU-NUEV UNC 2014'!F114</f>
        <v>302073.86135050002</v>
      </c>
      <c r="F14" s="35">
        <f>'03-APU-NUEV UNC 2014'!G114</f>
        <v>302073.86135050002</v>
      </c>
      <c r="G14" s="35">
        <f>'03-APU-NUEV UNC 2014'!H114</f>
        <v>302073.86135050002</v>
      </c>
      <c r="H14" s="35">
        <f>'03-APU-NUEV UNC 2014'!I114</f>
        <v>302073.86135050002</v>
      </c>
      <c r="I14" s="35">
        <f>'03-APU-NUEV UNC 2014'!J114</f>
        <v>302073.86135050002</v>
      </c>
      <c r="J14" s="35">
        <f>'03-APU-NUEV UNC 2014'!K114</f>
        <v>302073.86135050002</v>
      </c>
      <c r="K14" s="345">
        <f>'03-APU-NUEV UNC 2014'!L114</f>
        <v>302073.86135050002</v>
      </c>
    </row>
    <row r="15" spans="1:11">
      <c r="A15" s="921" t="s">
        <v>36</v>
      </c>
      <c r="B15" s="657"/>
      <c r="C15" s="57">
        <f>'03-APU-NUEV UNC 2014'!D129</f>
        <v>265686.27339793002</v>
      </c>
      <c r="D15" s="57">
        <f>'03-APU-NUEV UNC 2014'!E129</f>
        <v>265686.27339793002</v>
      </c>
      <c r="E15" s="57">
        <f>'03-APU-NUEV UNC 2014'!F129</f>
        <v>265686.27339793002</v>
      </c>
      <c r="F15" s="35">
        <f>'03-APU-NUEV UNC 2014'!G129</f>
        <v>265686.27339793002</v>
      </c>
      <c r="G15" s="35">
        <f>'03-APU-NUEV UNC 2014'!H129</f>
        <v>265686.27339793002</v>
      </c>
      <c r="H15" s="35">
        <f>'03-APU-NUEV UNC 2014'!I129</f>
        <v>265686.27339793002</v>
      </c>
      <c r="I15" s="35">
        <f>'03-APU-NUEV UNC 2014'!J129</f>
        <v>265686.27339793002</v>
      </c>
      <c r="J15" s="35">
        <f>'03-APU-NUEV UNC 2014'!K129</f>
        <v>265686.27339793002</v>
      </c>
      <c r="K15" s="345">
        <f>'03-APU-NUEV UNC 2014'!L129</f>
        <v>265686.27339793002</v>
      </c>
    </row>
    <row r="16" spans="1:11">
      <c r="A16" s="911"/>
      <c r="B16" s="912"/>
      <c r="C16" s="66"/>
      <c r="D16" s="66"/>
      <c r="E16" s="66"/>
      <c r="F16" s="1"/>
      <c r="G16" s="1"/>
      <c r="H16" s="1"/>
      <c r="I16" s="1"/>
      <c r="J16" s="1"/>
      <c r="K16" s="7"/>
    </row>
    <row r="17" spans="1:11">
      <c r="A17" s="922" t="s">
        <v>63</v>
      </c>
      <c r="B17" s="923"/>
      <c r="C17" s="66"/>
      <c r="D17" s="66"/>
      <c r="E17" s="66"/>
      <c r="F17" s="1"/>
      <c r="G17" s="1"/>
      <c r="H17" s="1"/>
      <c r="I17" s="1"/>
      <c r="J17" s="1"/>
      <c r="K17" s="7"/>
    </row>
    <row r="18" spans="1:11">
      <c r="A18" s="921" t="s">
        <v>37</v>
      </c>
      <c r="B18" s="657"/>
      <c r="C18" s="57">
        <f>'03-APU-NUEV UNC 2014'!D144</f>
        <v>474603.17987826344</v>
      </c>
      <c r="D18" s="57">
        <f>'03-APU-NUEV UNC 2014'!E144</f>
        <v>474603.17987826344</v>
      </c>
      <c r="E18" s="57">
        <f>'03-APU-NUEV UNC 2014'!F144</f>
        <v>474603.17987826344</v>
      </c>
      <c r="F18" s="35">
        <f>'03-APU-NUEV UNC 2014'!D144</f>
        <v>474603.17987826344</v>
      </c>
      <c r="G18" s="35">
        <f>'03-APU-NUEV UNC 2014'!H144</f>
        <v>474603.17987826344</v>
      </c>
      <c r="H18" s="35">
        <f>'03-APU-NUEV UNC 2014'!I144</f>
        <v>474603.17987826344</v>
      </c>
      <c r="I18" s="35">
        <f>'03-APU-NUEV UNC 2014'!J144</f>
        <v>474603.17987826344</v>
      </c>
      <c r="J18" s="35">
        <f>'03-APU-NUEV UNC 2014'!K144</f>
        <v>474603.17987826344</v>
      </c>
      <c r="K18" s="345">
        <f>'03-APU-NUEV UNC 2014'!L144</f>
        <v>474603.17987826344</v>
      </c>
    </row>
    <row r="19" spans="1:11">
      <c r="A19" s="921" t="s">
        <v>64</v>
      </c>
      <c r="B19" s="657"/>
      <c r="C19" s="57">
        <f>'03-APU-NUEV UNC 2014'!D160</f>
        <v>740289.45327619347</v>
      </c>
      <c r="D19" s="57">
        <f>'03-APU-NUEV UNC 2014'!E160</f>
        <v>740289.45327619347</v>
      </c>
      <c r="E19" s="57">
        <f>'03-APU-NUEV UNC 2014'!F160</f>
        <v>740289.45327619347</v>
      </c>
      <c r="F19" s="35">
        <f>'03-APU-NUEV UNC 2014'!G160</f>
        <v>740289.45327619347</v>
      </c>
      <c r="G19" s="35">
        <f>'03-APU-NUEV UNC 2014'!H160</f>
        <v>740289.45327619347</v>
      </c>
      <c r="H19" s="35">
        <f>'03-APU-NUEV UNC 2014'!I160</f>
        <v>740289.45327619347</v>
      </c>
      <c r="I19" s="35">
        <f>'03-APU-NUEV UNC 2014'!J160</f>
        <v>740289.45327619347</v>
      </c>
      <c r="J19" s="35">
        <f>'03-APU-NUEV UNC 2014'!K160</f>
        <v>740289.45327619347</v>
      </c>
      <c r="K19" s="345">
        <f>'03-APU-NUEV UNC 2014'!L160</f>
        <v>740289.45327619347</v>
      </c>
    </row>
    <row r="20" spans="1:11">
      <c r="A20" s="921" t="s">
        <v>38</v>
      </c>
      <c r="B20" s="657"/>
      <c r="C20" s="57">
        <f>'03-APU-NUEV UNC 2014'!D176</f>
        <v>596995.36707874015</v>
      </c>
      <c r="D20" s="57">
        <f>'03-APU-NUEV UNC 2014'!E176</f>
        <v>596995.36707874015</v>
      </c>
      <c r="E20" s="57">
        <f>'03-APU-NUEV UNC 2014'!F176</f>
        <v>596995.36707874015</v>
      </c>
      <c r="F20" s="35">
        <f>'03-APU-NUEV UNC 2014'!G176</f>
        <v>596995.36707874015</v>
      </c>
      <c r="G20" s="35">
        <f>'03-APU-NUEV UNC 2014'!H176</f>
        <v>596995.36707874015</v>
      </c>
      <c r="H20" s="35">
        <f>'03-APU-NUEV UNC 2014'!I176</f>
        <v>596995.36707874015</v>
      </c>
      <c r="I20" s="35">
        <f>'03-APU-NUEV UNC 2014'!J176</f>
        <v>596995.36707874015</v>
      </c>
      <c r="J20" s="35">
        <f>'03-APU-NUEV UNC 2014'!K176</f>
        <v>596995.36707874015</v>
      </c>
      <c r="K20" s="345">
        <f>'03-APU-NUEV UNC 2014'!L176</f>
        <v>596995.36707874015</v>
      </c>
    </row>
    <row r="21" spans="1:11">
      <c r="A21" s="921"/>
      <c r="B21" s="657"/>
      <c r="C21" s="57"/>
      <c r="D21" s="57"/>
      <c r="E21" s="57"/>
      <c r="F21" s="1"/>
      <c r="G21" s="1"/>
      <c r="H21" s="1"/>
      <c r="I21" s="1"/>
      <c r="J21" s="1"/>
      <c r="K21" s="7"/>
    </row>
    <row r="22" spans="1:11">
      <c r="A22" s="922" t="s">
        <v>270</v>
      </c>
      <c r="B22" s="923"/>
      <c r="C22" s="57">
        <f>'03-APU-NUEV UNC 2014'!D212</f>
        <v>387280</v>
      </c>
      <c r="D22" s="57">
        <f>'03-APU-NUEV UNC 2014'!E212</f>
        <v>387280</v>
      </c>
      <c r="E22" s="57">
        <f>'03-APU-NUEV UNC 2014'!F212</f>
        <v>387280</v>
      </c>
      <c r="F22" s="57">
        <f>'02-HH-2014'!$G$51*9.5*4</f>
        <v>2081619.3878984498</v>
      </c>
      <c r="G22" s="57">
        <f>'02-HH-2014'!$G$51*9.5*4</f>
        <v>2081619.3878984498</v>
      </c>
      <c r="H22" s="57">
        <f>'02-HH-2014'!$G$51*9.5*4</f>
        <v>2081619.3878984498</v>
      </c>
      <c r="I22" s="35">
        <f>'02-HH-2014'!$G$51*9.5*4</f>
        <v>2081619.3878984498</v>
      </c>
      <c r="J22" s="35">
        <f>'02-HH-2014'!$G$51*9.5*4</f>
        <v>2081619.3878984498</v>
      </c>
      <c r="K22" s="345">
        <f>'02-HH-2014'!$G$51*9.5*4</f>
        <v>2081619.3878984498</v>
      </c>
    </row>
    <row r="23" spans="1:11">
      <c r="A23" s="921"/>
      <c r="B23" s="657"/>
      <c r="C23" s="57"/>
      <c r="D23" s="57"/>
      <c r="E23" s="57"/>
      <c r="F23" s="32"/>
      <c r="G23" s="1"/>
      <c r="H23" s="1"/>
      <c r="I23" s="1"/>
      <c r="J23" s="1"/>
      <c r="K23" s="7"/>
    </row>
    <row r="24" spans="1:11">
      <c r="A24" s="922" t="s">
        <v>39</v>
      </c>
      <c r="B24" s="923"/>
      <c r="C24" s="57">
        <f>'03-APU-NUEV UNC 2014'!D65</f>
        <v>2198996.3333333335</v>
      </c>
      <c r="D24" s="57">
        <f>'03-APU-NUEV UNC 2014'!E65</f>
        <v>2198996.3333333335</v>
      </c>
      <c r="E24" s="57">
        <f>'03-APU-NUEV UNC 2014'!F65</f>
        <v>2198996.3333333335</v>
      </c>
      <c r="F24" s="35">
        <f>'03-APU-NUEV UNC 2014'!F65</f>
        <v>2198996.3333333335</v>
      </c>
      <c r="G24" s="35">
        <f>'03-APU-NUEV UNC 2014'!G65</f>
        <v>2198996.3333333335</v>
      </c>
      <c r="H24" s="35">
        <f>'03-APU-NUEV UNC 2014'!H65</f>
        <v>2198996.3333333335</v>
      </c>
      <c r="I24" s="35">
        <f>'03-APU-NUEV UNC 2014'!J65</f>
        <v>3021775.666666667</v>
      </c>
      <c r="J24" s="35">
        <f>'03-APU-NUEV UNC 2014'!K65</f>
        <v>3057192.3333333335</v>
      </c>
      <c r="K24" s="345">
        <f>'03-APU-NUEV UNC 2014'!L65</f>
        <v>3092609</v>
      </c>
    </row>
    <row r="25" spans="1:11">
      <c r="A25" s="917"/>
      <c r="B25" s="918"/>
      <c r="C25" s="66"/>
      <c r="D25" s="66"/>
      <c r="E25" s="66"/>
      <c r="F25" s="1"/>
      <c r="G25" s="1"/>
      <c r="H25" s="1"/>
      <c r="I25" s="1"/>
      <c r="J25" s="1"/>
      <c r="K25" s="7"/>
    </row>
    <row r="26" spans="1:11">
      <c r="A26" s="913" t="s">
        <v>12</v>
      </c>
      <c r="B26" s="914"/>
      <c r="C26" s="121">
        <f t="shared" ref="C26:E26" si="0">SUM(C8:C25)</f>
        <v>4965924.4683149606</v>
      </c>
      <c r="D26" s="121">
        <f t="shared" si="0"/>
        <v>4965924.4683149606</v>
      </c>
      <c r="E26" s="121">
        <f t="shared" si="0"/>
        <v>4965924.4683149606</v>
      </c>
      <c r="F26" s="121">
        <f t="shared" ref="F26:H26" si="1">SUM(F8:F25)</f>
        <v>6660263.8562134113</v>
      </c>
      <c r="G26" s="121">
        <f t="shared" si="1"/>
        <v>6660263.8562134113</v>
      </c>
      <c r="H26" s="121">
        <f t="shared" si="1"/>
        <v>6660263.8562134113</v>
      </c>
      <c r="I26" s="121">
        <f>SUM(I14:I15,I18:I20,I22,I24)</f>
        <v>7483043.1895467443</v>
      </c>
      <c r="J26" s="121">
        <f>SUM(J14:J15,J18:J20,J22,J24)</f>
        <v>7518459.8562134113</v>
      </c>
      <c r="K26" s="523">
        <f>SUM(K14:K15,K18:K20,K22,K24)</f>
        <v>7553876.5228800774</v>
      </c>
    </row>
    <row r="27" spans="1:11">
      <c r="A27" s="915"/>
      <c r="B27" s="916"/>
      <c r="C27" s="1"/>
      <c r="D27" s="1"/>
      <c r="E27" s="1"/>
      <c r="F27" s="1"/>
      <c r="G27" s="1"/>
      <c r="H27" s="1"/>
      <c r="I27" s="2"/>
      <c r="J27" s="2"/>
      <c r="K27" s="34"/>
    </row>
    <row r="28" spans="1:11">
      <c r="A28" s="936" t="s">
        <v>44</v>
      </c>
      <c r="B28" s="937"/>
      <c r="C28" s="2"/>
      <c r="D28" s="1"/>
      <c r="E28" s="1"/>
      <c r="F28" s="1"/>
      <c r="G28" s="1"/>
      <c r="H28" s="1"/>
      <c r="I28" s="1"/>
      <c r="J28" s="1"/>
      <c r="K28" s="7"/>
    </row>
    <row r="29" spans="1:11">
      <c r="A29" s="919" t="s">
        <v>65</v>
      </c>
      <c r="B29" s="920"/>
      <c r="C29" s="35">
        <v>12500</v>
      </c>
      <c r="D29" s="35">
        <v>12500</v>
      </c>
      <c r="E29" s="35">
        <v>12500</v>
      </c>
      <c r="F29" s="35">
        <v>12500</v>
      </c>
      <c r="G29" s="35">
        <v>12500</v>
      </c>
      <c r="H29" s="35">
        <v>12500</v>
      </c>
      <c r="I29" s="35">
        <v>12500</v>
      </c>
      <c r="J29" s="35">
        <v>12500</v>
      </c>
      <c r="K29" s="345">
        <v>12500</v>
      </c>
    </row>
    <row r="30" spans="1:11">
      <c r="A30" s="919" t="s">
        <v>66</v>
      </c>
      <c r="B30" s="920"/>
      <c r="C30" s="35">
        <f>'03-APU-NUEV UNC 2014'!G227</f>
        <v>112096.10866666665</v>
      </c>
      <c r="D30" s="35">
        <f>'03-APU-NUEV UNC 2014'!H227</f>
        <v>112096.10866666665</v>
      </c>
      <c r="E30" s="35">
        <f>'03-APU-NUEV UNC 2014'!I227</f>
        <v>112096.10866666665</v>
      </c>
      <c r="F30" s="35">
        <f>'03-APU-NUEV UNC 2014'!J227</f>
        <v>112096.10866666665</v>
      </c>
      <c r="G30" s="35">
        <f>'03-APU-NUEV UNC 2014'!K227</f>
        <v>112096.10866666665</v>
      </c>
      <c r="H30" s="35">
        <f>'03-APU-NUEV UNC 2014'!L227</f>
        <v>112096.10866666665</v>
      </c>
      <c r="I30" s="35">
        <f>'03-APU-NUEV UNC 2014'!J227</f>
        <v>112096.10866666665</v>
      </c>
      <c r="J30" s="35">
        <f>'03-APU-NUEV UNC 2014'!K227</f>
        <v>112096.10866666665</v>
      </c>
      <c r="K30" s="345">
        <f>'03-APU-NUEV UNC 2014'!L227</f>
        <v>112096.10866666665</v>
      </c>
    </row>
    <row r="31" spans="1:11">
      <c r="A31" s="919" t="s">
        <v>67</v>
      </c>
      <c r="B31" s="920"/>
      <c r="C31" s="35">
        <f>'03-APU-NUEV UNC 2014'!G228</f>
        <v>643274</v>
      </c>
      <c r="D31" s="35">
        <f>'03-APU-NUEV UNC 2014'!H228</f>
        <v>643274</v>
      </c>
      <c r="E31" s="35">
        <f>'03-APU-NUEV UNC 2014'!I228</f>
        <v>964911</v>
      </c>
      <c r="F31" s="35">
        <f>'03-APU-NUEV UNC 2014'!J228</f>
        <v>1286548</v>
      </c>
      <c r="G31" s="35">
        <f>'03-APU-NUEV UNC 2014'!K228</f>
        <v>1286548</v>
      </c>
      <c r="H31" s="35">
        <f>'03-APU-NUEV UNC 2014'!L228</f>
        <v>1286548</v>
      </c>
      <c r="I31" s="35">
        <f>'03-APU-NUEV UNC 2014'!J228</f>
        <v>1286548</v>
      </c>
      <c r="J31" s="35">
        <f>'03-APU-NUEV UNC 2014'!K228</f>
        <v>1286548</v>
      </c>
      <c r="K31" s="345">
        <f>'03-APU-NUEV UNC 2014'!L228</f>
        <v>1286548</v>
      </c>
    </row>
    <row r="32" spans="1:11">
      <c r="A32" s="919" t="s">
        <v>47</v>
      </c>
      <c r="B32" s="920"/>
      <c r="C32" s="35">
        <f>'03-APU-NUEV UNC 2014'!D229</f>
        <v>188506</v>
      </c>
      <c r="D32" s="35">
        <f>'03-APU-NUEV UNC 2014'!E229</f>
        <v>188506</v>
      </c>
      <c r="E32" s="35">
        <f>'03-APU-NUEV UNC 2014'!F229</f>
        <v>188506</v>
      </c>
      <c r="F32" s="35">
        <f>'03-APU-NUEV UNC 2014'!G229</f>
        <v>408576.75876240002</v>
      </c>
      <c r="G32" s="35">
        <f>'03-APU-NUEV UNC 2014'!H229</f>
        <v>672573.48968221399</v>
      </c>
      <c r="H32" s="35">
        <f>'03-APU-NUEV UNC 2014'!L229</f>
        <v>2945788.9830931202</v>
      </c>
      <c r="I32" s="35">
        <f>'03-APU-NUEV UNC 2014'!J229</f>
        <v>2680984.9830931202</v>
      </c>
      <c r="J32" s="35">
        <f>'03-APU-NUEV UNC 2014'!K229</f>
        <v>2813386.9830931202</v>
      </c>
      <c r="K32" s="345">
        <f>'03-APU-NUEV UNC 2014'!L229</f>
        <v>2945788.9830931202</v>
      </c>
    </row>
    <row r="33" spans="1:11">
      <c r="A33" s="919" t="s">
        <v>68</v>
      </c>
      <c r="B33" s="920"/>
      <c r="C33" s="35">
        <f>'03-APU-NUEV UNC 2014'!G230</f>
        <v>322273.05143896001</v>
      </c>
      <c r="D33" s="35">
        <f>'03-APU-NUEV UNC 2014'!H230</f>
        <v>322273.05143896001</v>
      </c>
      <c r="E33" s="35">
        <f>'03-APU-NUEV UNC 2014'!I230</f>
        <v>483409.57715844002</v>
      </c>
      <c r="F33" s="35">
        <f>'03-APU-NUEV UNC 2014'!J230</f>
        <v>644546.10287792003</v>
      </c>
      <c r="G33" s="35">
        <f>'03-APU-NUEV UNC 2014'!K230</f>
        <v>644546.10287792003</v>
      </c>
      <c r="H33" s="35">
        <f>'03-APU-NUEV UNC 2014'!L230</f>
        <v>644546.10287792003</v>
      </c>
      <c r="I33" s="35">
        <f>'03-APU-NUEV UNC 2014'!J230</f>
        <v>644546.10287792003</v>
      </c>
      <c r="J33" s="35">
        <f>'03-APU-NUEV UNC 2014'!K230</f>
        <v>644546.10287792003</v>
      </c>
      <c r="K33" s="345">
        <f>'03-APU-NUEV UNC 2014'!L230</f>
        <v>644546.10287792003</v>
      </c>
    </row>
    <row r="34" spans="1:11">
      <c r="A34" s="919" t="s">
        <v>49</v>
      </c>
      <c r="B34" s="920"/>
      <c r="C34" s="35">
        <f>'03-APU-NUEV UNC 2014'!D231</f>
        <v>597786.66666666663</v>
      </c>
      <c r="D34" s="35">
        <f>'03-APU-NUEV UNC 2014'!E231</f>
        <v>597786.66666666663</v>
      </c>
      <c r="E34" s="35">
        <f>'03-APU-NUEV UNC 2014'!F231</f>
        <v>597786.66666666663</v>
      </c>
      <c r="F34" s="35">
        <f>'03-APU-NUEV UNC 2014'!G231</f>
        <v>597786.66666666663</v>
      </c>
      <c r="G34" s="35">
        <f>'03-APU-NUEV UNC 2014'!H231</f>
        <v>597786.66666666663</v>
      </c>
      <c r="H34" s="35">
        <f>'03-APU-NUEV UNC 2014'!L231</f>
        <v>523160</v>
      </c>
      <c r="I34" s="35">
        <f>'03-APU-NUEV UNC 2014'!J231</f>
        <v>407160</v>
      </c>
      <c r="J34" s="35">
        <f>'03-APU-NUEV UNC 2014'!K231</f>
        <v>465160</v>
      </c>
      <c r="K34" s="345">
        <f>'03-APU-NUEV UNC 2014'!L231</f>
        <v>523160</v>
      </c>
    </row>
    <row r="35" spans="1:11">
      <c r="A35" s="919" t="s">
        <v>50</v>
      </c>
      <c r="B35" s="920"/>
      <c r="C35" s="35">
        <f>'03-APU-NUEV UNC 2014'!G232</f>
        <v>76000</v>
      </c>
      <c r="D35" s="35">
        <f>'03-APU-NUEV UNC 2014'!H232</f>
        <v>76000</v>
      </c>
      <c r="E35" s="35">
        <f>'03-APU-NUEV UNC 2014'!I232</f>
        <v>114000</v>
      </c>
      <c r="F35" s="35">
        <f>'03-APU-NUEV UNC 2014'!J232</f>
        <v>152000</v>
      </c>
      <c r="G35" s="35">
        <f>'03-APU-NUEV UNC 2014'!K232</f>
        <v>152000</v>
      </c>
      <c r="H35" s="35">
        <f>'03-APU-NUEV UNC 2014'!L232</f>
        <v>152000</v>
      </c>
      <c r="I35" s="35">
        <f>'03-APU-NUEV UNC 2014'!J232</f>
        <v>152000</v>
      </c>
      <c r="J35" s="35">
        <f>'03-APU-NUEV UNC 2014'!K232</f>
        <v>152000</v>
      </c>
      <c r="K35" s="345">
        <f>'03-APU-NUEV UNC 2014'!L232</f>
        <v>152000</v>
      </c>
    </row>
    <row r="36" spans="1:11">
      <c r="A36" s="919" t="s">
        <v>51</v>
      </c>
      <c r="B36" s="920"/>
      <c r="C36" s="35">
        <f>'03-APU-NUEV UNC 2014'!G233</f>
        <v>257333.33333333334</v>
      </c>
      <c r="D36" s="35">
        <f>'03-APU-NUEV UNC 2014'!H233</f>
        <v>273333.33333333331</v>
      </c>
      <c r="E36" s="35">
        <f>'03-APU-NUEV UNC 2014'!I233</f>
        <v>136666.66666666666</v>
      </c>
      <c r="F36" s="35">
        <f>'03-APU-NUEV UNC 2014'!J233</f>
        <v>136666.66666666666</v>
      </c>
      <c r="G36" s="35">
        <f>'03-APU-NUEV UNC 2014'!K233</f>
        <v>136666.66666666666</v>
      </c>
      <c r="H36" s="35">
        <f>'03-APU-NUEV UNC 2014'!L233</f>
        <v>136666.66666666666</v>
      </c>
      <c r="I36" s="35">
        <f>'03-APU-NUEV UNC 2014'!J233</f>
        <v>136666.66666666666</v>
      </c>
      <c r="J36" s="35">
        <f>'03-APU-NUEV UNC 2014'!K233</f>
        <v>136666.66666666666</v>
      </c>
      <c r="K36" s="345">
        <f>'03-APU-NUEV UNC 2014'!L233</f>
        <v>136666.66666666666</v>
      </c>
    </row>
    <row r="37" spans="1:11">
      <c r="A37" s="919" t="s">
        <v>69</v>
      </c>
      <c r="B37" s="920"/>
      <c r="C37" s="35">
        <f>'03-APU-NUEV UNC 2014'!G234</f>
        <v>206118.19571865443</v>
      </c>
      <c r="D37" s="35">
        <f>'03-APU-NUEV UNC 2014'!H234</f>
        <v>206118.19571865443</v>
      </c>
      <c r="E37" s="35">
        <f>'03-APU-NUEV UNC 2014'!I234</f>
        <v>206118.19571865443</v>
      </c>
      <c r="F37" s="35">
        <f>'03-APU-NUEV UNC 2014'!J234</f>
        <v>206118.19571865443</v>
      </c>
      <c r="G37" s="35">
        <f>'03-APU-NUEV UNC 2014'!K234</f>
        <v>206118.19571865443</v>
      </c>
      <c r="H37" s="35">
        <f>'03-APU-NUEV UNC 2014'!L234</f>
        <v>206118.19571865443</v>
      </c>
      <c r="I37" s="35">
        <f>'03-APU-NUEV UNC 2014'!J234</f>
        <v>206118.19571865443</v>
      </c>
      <c r="J37" s="35">
        <f>'03-APU-NUEV UNC 2014'!K234</f>
        <v>206118.19571865443</v>
      </c>
      <c r="K37" s="345">
        <f>'03-APU-NUEV UNC 2014'!L234</f>
        <v>206118.19571865443</v>
      </c>
    </row>
    <row r="38" spans="1:11" ht="29.25" customHeight="1">
      <c r="A38" s="699" t="s">
        <v>70</v>
      </c>
      <c r="B38" s="781"/>
      <c r="C38" s="35">
        <f>'03-APU-NUEV UNC 2014'!G235</f>
        <v>322273.05143896001</v>
      </c>
      <c r="D38" s="35">
        <f>'03-APU-NUEV UNC 2014'!H235</f>
        <v>322273.05143896001</v>
      </c>
      <c r="E38" s="35">
        <f>'03-APU-NUEV UNC 2014'!I235</f>
        <v>483409.57715844002</v>
      </c>
      <c r="F38" s="35">
        <f>'03-APU-NUEV UNC 2014'!J235</f>
        <v>644546.10287792003</v>
      </c>
      <c r="G38" s="35">
        <f>'03-APU-NUEV UNC 2014'!K235</f>
        <v>644546.10287792003</v>
      </c>
      <c r="H38" s="35">
        <f>'03-APU-NUEV UNC 2014'!L235</f>
        <v>644546.10287792003</v>
      </c>
      <c r="I38" s="35">
        <f>'03-APU-NUEV UNC 2014'!J235</f>
        <v>644546.10287792003</v>
      </c>
      <c r="J38" s="35">
        <f>'03-APU-NUEV UNC 2014'!K235</f>
        <v>644546.10287792003</v>
      </c>
      <c r="K38" s="345">
        <f>'03-APU-NUEV UNC 2014'!L235</f>
        <v>644546.10287792003</v>
      </c>
    </row>
    <row r="39" spans="1:11">
      <c r="A39" s="917"/>
      <c r="B39" s="918"/>
      <c r="C39" s="1"/>
      <c r="D39" s="1"/>
      <c r="E39" s="1"/>
      <c r="F39" s="1"/>
      <c r="G39" s="1"/>
      <c r="H39" s="1"/>
      <c r="I39" s="1"/>
      <c r="J39" s="1"/>
      <c r="K39" s="7"/>
    </row>
    <row r="40" spans="1:11">
      <c r="A40" s="913" t="s">
        <v>43</v>
      </c>
      <c r="B40" s="914"/>
      <c r="C40" s="104">
        <f>SUM(C28,C29,C30,C31,C32,C33,C34,C35,C36,C37,C38)</f>
        <v>2738160.4072632408</v>
      </c>
      <c r="D40" s="104">
        <f>SUM(D28,D29,D30,D31,D32,D33,D34,D35,D36,D37,D38)</f>
        <v>2754160.4072632408</v>
      </c>
      <c r="E40" s="104">
        <f>SUM(E29:E38)</f>
        <v>3299403.792035534</v>
      </c>
      <c r="F40" s="104">
        <f t="shared" ref="F40:K40" si="2">SUM(F28,F29,F30,F31,F32,F33,F34,F35,F36,F37,F38)</f>
        <v>4201384.602236894</v>
      </c>
      <c r="G40" s="104">
        <f t="shared" si="2"/>
        <v>4465381.3331567086</v>
      </c>
      <c r="H40" s="104">
        <f t="shared" si="2"/>
        <v>6663970.1599009484</v>
      </c>
      <c r="I40" s="104">
        <f t="shared" si="2"/>
        <v>6283166.1599009484</v>
      </c>
      <c r="J40" s="104">
        <f t="shared" si="2"/>
        <v>6473568.1599009484</v>
      </c>
      <c r="K40" s="526">
        <f t="shared" si="2"/>
        <v>6663970.1599009484</v>
      </c>
    </row>
    <row r="41" spans="1:11">
      <c r="A41" s="911"/>
      <c r="B41" s="912"/>
      <c r="C41" s="66"/>
      <c r="D41" s="66"/>
      <c r="E41" s="66"/>
      <c r="F41" s="66"/>
      <c r="G41" s="66"/>
      <c r="H41" s="66"/>
      <c r="I41" s="2"/>
      <c r="J41" s="2"/>
      <c r="K41" s="34"/>
    </row>
    <row r="42" spans="1:11">
      <c r="A42" s="922" t="s">
        <v>54</v>
      </c>
      <c r="B42" s="923"/>
      <c r="C42" s="66"/>
      <c r="D42" s="66"/>
      <c r="E42" s="66"/>
      <c r="F42" s="66"/>
      <c r="G42" s="66"/>
      <c r="H42" s="66"/>
      <c r="I42" s="66"/>
      <c r="J42" s="66"/>
      <c r="K42" s="525"/>
    </row>
    <row r="43" spans="1:11">
      <c r="A43" s="921" t="s">
        <v>71</v>
      </c>
      <c r="B43" s="657"/>
      <c r="C43" s="35">
        <f>'03-APU-NUEV UNC 2014'!D13</f>
        <v>1306350.2762524625</v>
      </c>
      <c r="D43" s="35">
        <f>'03-APU-NUEV UNC 2014'!E13</f>
        <v>1306350.2762524625</v>
      </c>
      <c r="E43" s="35">
        <f>'03-APU-NUEV UNC 2014'!F13</f>
        <v>1306350.2762524625</v>
      </c>
      <c r="F43" s="35">
        <f>'03-APU-NUEV UNC 2014'!G13</f>
        <v>1306350.2762524625</v>
      </c>
      <c r="G43" s="35">
        <f>'03-APU-NUEV UNC 2014'!H13</f>
        <v>1306350.2762524625</v>
      </c>
      <c r="H43" s="35">
        <f>'03-APU-NUEV UNC 2014'!I13</f>
        <v>1959525.414378694</v>
      </c>
      <c r="I43" s="35">
        <f>'03-APU-NUEV UNC 2014'!J13</f>
        <v>2536271.3875049255</v>
      </c>
      <c r="J43" s="35">
        <f>'03-APU-NUEV UNC 2014'!K13</f>
        <v>2536271.3875049255</v>
      </c>
      <c r="K43" s="345">
        <f>'03-APU-NUEV UNC 2014'!L13</f>
        <v>2536271.3875049255</v>
      </c>
    </row>
    <row r="44" spans="1:11">
      <c r="A44" s="911"/>
      <c r="B44" s="912"/>
      <c r="C44" s="66"/>
      <c r="D44" s="66"/>
      <c r="E44" s="66"/>
      <c r="F44" s="66"/>
      <c r="G44" s="66"/>
      <c r="H44" s="66"/>
      <c r="I44" s="66"/>
      <c r="J44" s="66"/>
      <c r="K44" s="525"/>
    </row>
    <row r="45" spans="1:11">
      <c r="A45" s="913" t="s">
        <v>12</v>
      </c>
      <c r="B45" s="914"/>
      <c r="C45" s="104">
        <f>C43</f>
        <v>1306350.2762524625</v>
      </c>
      <c r="D45" s="104">
        <f t="shared" ref="D45:H45" si="3">D43</f>
        <v>1306350.2762524625</v>
      </c>
      <c r="E45" s="104">
        <f t="shared" si="3"/>
        <v>1306350.2762524625</v>
      </c>
      <c r="F45" s="104">
        <f t="shared" si="3"/>
        <v>1306350.2762524625</v>
      </c>
      <c r="G45" s="104">
        <f t="shared" si="3"/>
        <v>1306350.2762524625</v>
      </c>
      <c r="H45" s="104">
        <f t="shared" si="3"/>
        <v>1959525.414378694</v>
      </c>
      <c r="I45" s="104">
        <f>I43</f>
        <v>2536271.3875049255</v>
      </c>
      <c r="J45" s="104">
        <f>J43</f>
        <v>2536271.3875049255</v>
      </c>
      <c r="K45" s="526">
        <f>K43</f>
        <v>2536271.3875049255</v>
      </c>
    </row>
    <row r="46" spans="1:11">
      <c r="A46" s="911"/>
      <c r="B46" s="912"/>
      <c r="C46" s="66"/>
      <c r="D46" s="66"/>
      <c r="E46" s="66"/>
      <c r="F46" s="66"/>
      <c r="G46" s="66"/>
      <c r="H46" s="66"/>
      <c r="I46" s="66"/>
      <c r="J46" s="66"/>
      <c r="K46" s="525"/>
    </row>
    <row r="47" spans="1:11">
      <c r="A47" s="922" t="s">
        <v>55</v>
      </c>
      <c r="B47" s="923"/>
      <c r="C47" s="35"/>
      <c r="D47" s="35"/>
      <c r="E47" s="35"/>
      <c r="F47" s="35"/>
      <c r="G47" s="35"/>
      <c r="H47" s="35"/>
      <c r="I47" s="35"/>
      <c r="J47" s="35"/>
      <c r="K47" s="345"/>
    </row>
    <row r="48" spans="1:11">
      <c r="A48" s="921" t="s">
        <v>56</v>
      </c>
      <c r="B48" s="657"/>
      <c r="C48" s="35">
        <f>'03-APU-NUEV UNC 2014'!G219</f>
        <v>79304.433856434829</v>
      </c>
      <c r="D48" s="35">
        <f>'03-APU-NUEV UNC 2014'!H219</f>
        <v>198261.75775074653</v>
      </c>
      <c r="E48" s="35">
        <f>'03-APU-NUEV UNC 2014'!I219</f>
        <v>198261.75775074653</v>
      </c>
      <c r="F48" s="35">
        <f>'03-APU-NUEV UNC 2014'!J219</f>
        <v>198261.75775074653</v>
      </c>
      <c r="G48" s="35">
        <f>'03-APU-NUEV UNC 2014'!K219</f>
        <v>198261.75775074653</v>
      </c>
      <c r="H48" s="35">
        <f>'03-APU-NUEV UNC 2014'!L219</f>
        <v>198261.75775074653</v>
      </c>
      <c r="I48" s="35">
        <f>'03-APU-NUEV UNC 2014'!J219</f>
        <v>198261.75775074653</v>
      </c>
      <c r="J48" s="35">
        <f>'03-APU-NUEV UNC 2014'!K219</f>
        <v>198261.75775074653</v>
      </c>
      <c r="K48" s="345">
        <f>'03-APU-NUEV UNC 2014'!L219</f>
        <v>198261.75775074653</v>
      </c>
    </row>
    <row r="49" spans="1:11">
      <c r="A49" s="911"/>
      <c r="B49" s="912"/>
      <c r="C49" s="66"/>
      <c r="D49" s="66"/>
      <c r="E49" s="66"/>
      <c r="F49" s="66"/>
      <c r="G49" s="66"/>
      <c r="H49" s="66"/>
      <c r="I49" s="66"/>
      <c r="J49" s="66"/>
      <c r="K49" s="525"/>
    </row>
    <row r="50" spans="1:11">
      <c r="A50" s="913" t="s">
        <v>43</v>
      </c>
      <c r="B50" s="914"/>
      <c r="C50" s="104">
        <f>C48</f>
        <v>79304.433856434829</v>
      </c>
      <c r="D50" s="104">
        <f t="shared" ref="D50:H50" si="4">D48</f>
        <v>198261.75775074653</v>
      </c>
      <c r="E50" s="104">
        <f t="shared" si="4"/>
        <v>198261.75775074653</v>
      </c>
      <c r="F50" s="104">
        <f t="shared" si="4"/>
        <v>198261.75775074653</v>
      </c>
      <c r="G50" s="104">
        <f t="shared" si="4"/>
        <v>198261.75775074653</v>
      </c>
      <c r="H50" s="104">
        <f t="shared" si="4"/>
        <v>198261.75775074653</v>
      </c>
      <c r="I50" s="104">
        <f>I48</f>
        <v>198261.75775074653</v>
      </c>
      <c r="J50" s="104">
        <f>J48</f>
        <v>198261.75775074653</v>
      </c>
      <c r="K50" s="526">
        <f>K48</f>
        <v>198261.75775074653</v>
      </c>
    </row>
    <row r="51" spans="1:11">
      <c r="A51" s="917"/>
      <c r="B51" s="918"/>
      <c r="C51" s="1"/>
      <c r="D51" s="1"/>
      <c r="E51" s="1"/>
      <c r="F51" s="1"/>
      <c r="G51" s="1"/>
      <c r="H51" s="1"/>
      <c r="I51" s="1"/>
      <c r="J51" s="1"/>
      <c r="K51" s="7"/>
    </row>
    <row r="52" spans="1:11">
      <c r="A52" s="922" t="s">
        <v>57</v>
      </c>
      <c r="B52" s="923"/>
      <c r="C52" s="66"/>
      <c r="D52" s="66"/>
      <c r="E52" s="66"/>
      <c r="F52" s="66"/>
      <c r="G52" s="66"/>
      <c r="H52" s="66"/>
      <c r="I52" s="66"/>
      <c r="J52" s="66"/>
      <c r="K52" s="525"/>
    </row>
    <row r="53" spans="1:11" s="5" customFormat="1">
      <c r="A53" s="605" t="s">
        <v>448</v>
      </c>
      <c r="B53" s="515">
        <v>1</v>
      </c>
      <c r="C53" s="580">
        <f>'03-APU-NUEV UNC 2014'!D192</f>
        <v>35917.131427959794</v>
      </c>
      <c r="D53" s="580">
        <f>'03-APU-NUEV UNC 2014'!E192</f>
        <v>48410.046707250061</v>
      </c>
      <c r="E53" s="580">
        <f>'03-APU-NUEV UNC 2014'!F192</f>
        <v>55976.959999999999</v>
      </c>
      <c r="F53" s="580">
        <f>'03-APU-NUEV UNC 2014'!G192</f>
        <v>108459.99999999999</v>
      </c>
      <c r="G53" s="580">
        <f>'03-APU-NUEV UNC 2014'!H192</f>
        <v>127599.99999999999</v>
      </c>
      <c r="H53" s="580">
        <f>'03-APU-NUEV UNC 2014'!I192</f>
        <v>133708.56</v>
      </c>
      <c r="I53" s="580">
        <f>'03-APU-NUEV UNC 2014'!J192</f>
        <v>147778.19999999998</v>
      </c>
      <c r="J53" s="580">
        <f>'03-APU-NUEV UNC 2014'!K192</f>
        <v>177336.15999999997</v>
      </c>
      <c r="K53" s="606">
        <f>'03-APU-NUEV UNC 2014'!L192</f>
        <v>225578.42559999996</v>
      </c>
    </row>
    <row r="54" spans="1:11" s="5" customFormat="1">
      <c r="A54" s="571" t="s">
        <v>446</v>
      </c>
      <c r="B54" s="515">
        <v>2</v>
      </c>
      <c r="C54" s="580">
        <f>'03-APU-NUEV UNC 2014'!D205*$B$54</f>
        <v>452400</v>
      </c>
      <c r="D54" s="580">
        <f>'03-APU-NUEV UNC 2014'!E205*$B$54</f>
        <v>678600</v>
      </c>
      <c r="E54" s="580">
        <f>'03-APU-NUEV UNC 2014'!F205*$B$54</f>
        <v>1500000</v>
      </c>
      <c r="F54" s="580">
        <f>'03-APU-NUEV UNC 2014'!G205*$B$54</f>
        <v>2020000</v>
      </c>
      <c r="G54" s="580">
        <f>'03-APU-NUEV UNC 2014'!H205*$B$54</f>
        <v>2840000</v>
      </c>
      <c r="H54" s="580">
        <f>'03-APU-NUEV UNC 2014'!I205*$B$54</f>
        <v>3535680</v>
      </c>
      <c r="I54" s="580">
        <f>'03-APU-NUEV UNC 2014'!J205*$B$54</f>
        <v>6242816</v>
      </c>
      <c r="J54" s="580">
        <f>'03-APU-NUEV UNC 2014'!K205*$B$54</f>
        <v>8949952</v>
      </c>
      <c r="K54" s="606">
        <f>'03-APU-NUEV UNC 2014'!L205*$B$54</f>
        <v>13657088</v>
      </c>
    </row>
    <row r="55" spans="1:11" s="5" customFormat="1">
      <c r="A55" s="571" t="s">
        <v>447</v>
      </c>
      <c r="B55" s="515">
        <v>2</v>
      </c>
      <c r="C55" s="580">
        <f>'03-APU-NUEV UNC 2014'!D193*$B$55</f>
        <v>90944</v>
      </c>
      <c r="D55" s="580">
        <f>'03-APU-NUEV UNC 2014'!E193*$B$55</f>
        <v>131776</v>
      </c>
      <c r="E55" s="580">
        <f>'03-APU-NUEV UNC 2014'!F193*$B$55</f>
        <v>157760</v>
      </c>
      <c r="F55" s="580">
        <f>'03-APU-NUEV UNC 2014'!G193*$B$55</f>
        <v>299280</v>
      </c>
      <c r="G55" s="580">
        <f>'03-APU-NUEV UNC 2014'!H193*$B$55</f>
        <v>315520</v>
      </c>
      <c r="H55" s="580">
        <f>'03-APU-NUEV UNC 2014'!I193*$B$55</f>
        <v>524320</v>
      </c>
      <c r="I55" s="580">
        <f>'03-APU-NUEV UNC 2014'!J193*$B$55</f>
        <v>765600</v>
      </c>
      <c r="J55" s="580">
        <f>'03-APU-NUEV UNC 2014'!K193*$B$55</f>
        <v>1642560</v>
      </c>
      <c r="K55" s="606">
        <f>'03-APU-NUEV UNC 2014'!L193*$B$55</f>
        <v>2118160</v>
      </c>
    </row>
    <row r="56" spans="1:11" s="5" customFormat="1">
      <c r="A56" s="571" t="s">
        <v>451</v>
      </c>
      <c r="B56" s="515">
        <v>1</v>
      </c>
      <c r="C56" s="580">
        <f>'03-APU-NUEV UNC 2014'!D204</f>
        <v>162110</v>
      </c>
      <c r="D56" s="580">
        <f>'03-APU-NUEV UNC 2014'!E204</f>
        <v>247520</v>
      </c>
      <c r="E56" s="580">
        <f>'03-APU-NUEV UNC 2014'!F204</f>
        <v>324480</v>
      </c>
      <c r="F56" s="580">
        <f>'03-APU-NUEV UNC 2014'!G204</f>
        <v>1050240</v>
      </c>
      <c r="G56" s="580">
        <f>'03-APU-NUEV UNC 2014'!H204</f>
        <v>802100</v>
      </c>
      <c r="H56" s="580">
        <f>'03-APU-NUEV UNC 2014'!I204</f>
        <v>1270400</v>
      </c>
      <c r="I56" s="580">
        <f>'03-APU-NUEV UNC 2014'!J204</f>
        <v>1974400</v>
      </c>
      <c r="J56" s="580">
        <f>'03-APU-NUEV UNC 2014'!K204</f>
        <v>2953600</v>
      </c>
      <c r="K56" s="606">
        <f>'03-APU-NUEV UNC 2014'!L204</f>
        <v>4337000</v>
      </c>
    </row>
    <row r="57" spans="1:11" s="5" customFormat="1">
      <c r="A57" s="571" t="s">
        <v>450</v>
      </c>
      <c r="B57" s="515">
        <v>2</v>
      </c>
      <c r="C57" s="580">
        <f>'03-APU-NUEV UNC 2014'!D195*$B$57</f>
        <v>7104000</v>
      </c>
      <c r="D57" s="580">
        <f>'03-APU-NUEV UNC 2014'!E195*$B$57</f>
        <v>10284000</v>
      </c>
      <c r="E57" s="580">
        <f>'03-APU-NUEV UNC 2014'!F195*$B$57</f>
        <v>11031577.399999999</v>
      </c>
      <c r="F57" s="580">
        <f>'03-APU-NUEV UNC 2014'!G195*$B$57</f>
        <v>14072772</v>
      </c>
      <c r="G57" s="580">
        <f>'03-APU-NUEV UNC 2014'!H195*$B$57</f>
        <v>18762000</v>
      </c>
      <c r="H57" s="580">
        <f>'03-APU-NUEV UNC 2014'!I195*$B$57</f>
        <v>27180000</v>
      </c>
      <c r="I57" s="580">
        <f>'03-APU-NUEV UNC 2014'!J195*$B$57</f>
        <v>34772000</v>
      </c>
      <c r="J57" s="580">
        <f>'03-APU-NUEV UNC 2014'!K195*$B$57</f>
        <v>43519720</v>
      </c>
      <c r="K57" s="606">
        <f>'03-APU-NUEV UNC 2014'!L195*$B$57</f>
        <v>52080000</v>
      </c>
    </row>
    <row r="58" spans="1:11">
      <c r="A58" s="921" t="s">
        <v>61</v>
      </c>
      <c r="B58" s="657"/>
      <c r="C58" s="35">
        <f>'03-APU-NUEV UNC 2014'!G365</f>
        <v>2917600.5499588801</v>
      </c>
      <c r="D58" s="35">
        <f>'03-APU-NUEV UNC 2014'!H365</f>
        <v>2755051.2982996223</v>
      </c>
      <c r="E58" s="35">
        <f>'03-APU-NUEV UNC 2014'!I365</f>
        <v>3243529.6705971505</v>
      </c>
      <c r="F58" s="35">
        <f>'03-APU-NUEV UNC 2014'!J365</f>
        <v>3342085.0407136986</v>
      </c>
      <c r="G58" s="35">
        <f>'03-APU-NUEV UNC 2014'!K365</f>
        <v>3400274.0245533586</v>
      </c>
      <c r="H58" s="35">
        <f>'03-APU-NUEV UNC 2014'!L365</f>
        <v>3856677.3753590365</v>
      </c>
      <c r="I58" s="35">
        <f>'03-APU-NUEV UNC 2014'!J365</f>
        <v>3342085.0407136986</v>
      </c>
      <c r="J58" s="35">
        <f>'03-APU-NUEV UNC 2014'!K365</f>
        <v>3400274.0245533586</v>
      </c>
      <c r="K58" s="345">
        <f>'03-APU-NUEV UNC 2014'!L365</f>
        <v>3856677.3753590365</v>
      </c>
    </row>
    <row r="59" spans="1:11">
      <c r="A59" s="917"/>
      <c r="B59" s="918"/>
      <c r="C59" s="1"/>
      <c r="D59" s="1"/>
      <c r="E59" s="1"/>
      <c r="F59" s="1"/>
      <c r="G59" s="1"/>
      <c r="H59" s="1"/>
      <c r="I59" s="1"/>
      <c r="J59" s="1"/>
      <c r="K59" s="7"/>
    </row>
    <row r="60" spans="1:11">
      <c r="A60" s="913" t="s">
        <v>12</v>
      </c>
      <c r="B60" s="914"/>
      <c r="C60" s="104">
        <f>SUM(C53:C59)</f>
        <v>10762971.68138684</v>
      </c>
      <c r="D60" s="104">
        <f t="shared" ref="D60:K60" si="5">SUM(D53:D59)</f>
        <v>14145357.345006872</v>
      </c>
      <c r="E60" s="104">
        <f t="shared" si="5"/>
        <v>16313324.03059715</v>
      </c>
      <c r="F60" s="104">
        <f t="shared" si="5"/>
        <v>20892837.040713698</v>
      </c>
      <c r="G60" s="104">
        <f t="shared" si="5"/>
        <v>26247494.024553359</v>
      </c>
      <c r="H60" s="104">
        <f t="shared" si="5"/>
        <v>36500785.935359038</v>
      </c>
      <c r="I60" s="104">
        <f t="shared" si="5"/>
        <v>47244679.240713701</v>
      </c>
      <c r="J60" s="104">
        <f t="shared" si="5"/>
        <v>60643442.184553355</v>
      </c>
      <c r="K60" s="526">
        <f t="shared" si="5"/>
        <v>76274503.800959036</v>
      </c>
    </row>
    <row r="61" spans="1:11">
      <c r="A61" s="986"/>
      <c r="B61" s="987"/>
      <c r="C61" s="4"/>
      <c r="D61" s="4"/>
      <c r="E61" s="4"/>
      <c r="F61" s="4"/>
      <c r="G61" s="4"/>
      <c r="H61" s="4"/>
      <c r="I61" s="4"/>
      <c r="J61" s="4"/>
      <c r="K61" s="137"/>
    </row>
    <row r="62" spans="1:11">
      <c r="A62" s="984" t="s">
        <v>441</v>
      </c>
      <c r="B62" s="985"/>
      <c r="C62" s="581">
        <f t="shared" ref="C62:H62" si="6">SUM(C60,C50,C45,C40,C26)</f>
        <v>19852711.26707394</v>
      </c>
      <c r="D62" s="581">
        <f t="shared" si="6"/>
        <v>23370054.254588284</v>
      </c>
      <c r="E62" s="581">
        <f t="shared" si="6"/>
        <v>26083264.324950855</v>
      </c>
      <c r="F62" s="581">
        <f t="shared" si="6"/>
        <v>33259097.533167213</v>
      </c>
      <c r="G62" s="581">
        <f t="shared" si="6"/>
        <v>38877751.24792669</v>
      </c>
      <c r="H62" s="581">
        <f t="shared" si="6"/>
        <v>51982807.123602845</v>
      </c>
      <c r="I62" s="581">
        <f>SUM(I26,I40,I45,I50,I60)</f>
        <v>63745421.735417068</v>
      </c>
      <c r="J62" s="581">
        <f>SUM(J60,J50,J45,J40,J26)</f>
        <v>77370003.345923379</v>
      </c>
      <c r="K62" s="584">
        <f>SUM(K60,K50,K45,K40,K26)</f>
        <v>93226883.628995731</v>
      </c>
    </row>
    <row r="63" spans="1:11" ht="15.75" thickBot="1">
      <c r="A63" s="879"/>
      <c r="B63" s="981"/>
      <c r="C63" s="504"/>
      <c r="D63" s="504"/>
      <c r="E63" s="504"/>
      <c r="F63" s="504"/>
      <c r="G63" s="504"/>
      <c r="H63" s="504"/>
      <c r="I63" s="536"/>
      <c r="J63" s="536"/>
      <c r="K63" s="537"/>
    </row>
    <row r="64" spans="1:11" ht="21.75" customHeight="1" thickBot="1">
      <c r="A64" s="982" t="s">
        <v>13</v>
      </c>
      <c r="B64" s="983"/>
      <c r="C64" s="539">
        <f>'05-ED-2014'!C21</f>
        <v>3253159.0608565337</v>
      </c>
      <c r="D64" s="539">
        <f>'05-ED-2014'!D21</f>
        <v>3836890.8074334702</v>
      </c>
      <c r="E64" s="539">
        <f>'05-ED-2014'!E21</f>
        <v>5354351.4922799291</v>
      </c>
      <c r="F64" s="539">
        <f>'05-ED-2014'!F21</f>
        <v>6970712.9568290627</v>
      </c>
      <c r="G64" s="539">
        <f>'05-ED-2014'!G21</f>
        <v>10329163.973237552</v>
      </c>
      <c r="H64" s="539">
        <f>'05-ED-2014'!H21</f>
        <v>14400654.763502076</v>
      </c>
      <c r="I64" s="539">
        <f>'05-ED-2014'!I21</f>
        <v>19393094.791387334</v>
      </c>
      <c r="J64" s="539">
        <f>'05-ED-2014'!J21</f>
        <v>25207669.311813526</v>
      </c>
      <c r="K64" s="540">
        <f>'05-ED-2014'!K21</f>
        <v>31845116.990092896</v>
      </c>
    </row>
    <row r="65" spans="1:11" ht="18.75" customHeight="1" thickBot="1">
      <c r="A65" s="982" t="s">
        <v>59</v>
      </c>
      <c r="B65" s="983"/>
      <c r="C65" s="539">
        <f>'05-ED-2014'!C14</f>
        <v>8889254.2342970259</v>
      </c>
      <c r="D65" s="539">
        <f>'05-ED-2014'!D14</f>
        <v>17059376.779751569</v>
      </c>
      <c r="E65" s="539">
        <f>'05-ED-2014'!E14</f>
        <v>17067879.57975157</v>
      </c>
      <c r="F65" s="539">
        <f>'05-ED-2014'!F14</f>
        <v>18664701.416697025</v>
      </c>
      <c r="G65" s="539">
        <f>'05-ED-2014'!G14</f>
        <v>18664701.416697025</v>
      </c>
      <c r="H65" s="539">
        <f>'05-ED-2014'!H14</f>
        <v>19598678.339897022</v>
      </c>
      <c r="I65" s="539">
        <f>'05-ED-2014'!I14</f>
        <v>47227182.07456369</v>
      </c>
      <c r="J65" s="539">
        <f>'05-ED-2014'!J14</f>
        <v>47268265.407897025</v>
      </c>
      <c r="K65" s="540">
        <f>'05-ED-2014'!K14</f>
        <v>47309348.741230361</v>
      </c>
    </row>
    <row r="66" spans="1:11">
      <c r="A66" s="572"/>
      <c r="B66" s="506"/>
      <c r="C66" s="505"/>
      <c r="D66" s="505"/>
      <c r="E66" s="505"/>
      <c r="F66" s="505"/>
      <c r="G66" s="505"/>
      <c r="H66" s="505"/>
      <c r="I66" s="505"/>
      <c r="J66" s="505"/>
      <c r="K66" s="538"/>
    </row>
    <row r="67" spans="1:11">
      <c r="A67" s="125" t="s">
        <v>214</v>
      </c>
      <c r="B67" s="123">
        <v>0.1</v>
      </c>
      <c r="C67" s="603">
        <f>SUM(C62,C64:C65)*B67</f>
        <v>3199512.4562227502</v>
      </c>
      <c r="D67" s="603">
        <f>SUM(D62,D64:D65)*B67</f>
        <v>4426632.1841773326</v>
      </c>
      <c r="E67" s="603">
        <f>SUM(E62,E64:E65)*B67</f>
        <v>4850549.5396982357</v>
      </c>
      <c r="F67" s="603">
        <f>SUM(F62,F64:F65)*B67</f>
        <v>5889451.1906693308</v>
      </c>
      <c r="G67" s="603">
        <f>SUM(G62,G64:G65)*B67</f>
        <v>6787161.6637861272</v>
      </c>
      <c r="H67" s="603">
        <f>SUM(H62,H64:H65)*B67</f>
        <v>8598214.0227001943</v>
      </c>
      <c r="I67" s="603">
        <f>SUM(I62,I64:I65)*B67</f>
        <v>13036569.860136811</v>
      </c>
      <c r="J67" s="603">
        <f>SUM(J62,J64:J65)*B67</f>
        <v>14984593.806563392</v>
      </c>
      <c r="K67" s="607">
        <f>SUM(K62,K64:K65)*B67</f>
        <v>17238134.9360319</v>
      </c>
    </row>
    <row r="68" spans="1:11">
      <c r="A68" s="125" t="s">
        <v>268</v>
      </c>
      <c r="B68" s="123">
        <v>0.1</v>
      </c>
      <c r="C68" s="603">
        <f>SUM(C62,C64:C65)*B68</f>
        <v>3199512.4562227502</v>
      </c>
      <c r="D68" s="603">
        <f t="shared" ref="D68:D70" si="7">SUM(D63,D65:D66)*B68</f>
        <v>1705937.677975157</v>
      </c>
      <c r="E68" s="603">
        <f t="shared" ref="E68:E70" si="8">SUM(E63,E65:E66)*B68</f>
        <v>1706787.9579751571</v>
      </c>
      <c r="F68" s="603">
        <f t="shared" ref="F68:F70" si="9">SUM(F63,F65:F66)*B68</f>
        <v>1866470.1416697027</v>
      </c>
      <c r="G68" s="603">
        <f t="shared" ref="G68:G70" si="10">SUM(G63,G65:G66)*B68</f>
        <v>1866470.1416697027</v>
      </c>
      <c r="H68" s="603">
        <f t="shared" ref="H68:H70" si="11">SUM(H63,H65:H66)*B68</f>
        <v>1959867.8339897022</v>
      </c>
      <c r="I68" s="603">
        <f t="shared" ref="I68:I70" si="12">SUM(I63,I65:I66)*B68</f>
        <v>4722718.207456369</v>
      </c>
      <c r="J68" s="603">
        <f t="shared" ref="J68:J70" si="13">SUM(J63,J65:J66)*B68</f>
        <v>4726826.5407897029</v>
      </c>
      <c r="K68" s="607">
        <f t="shared" ref="K68:K70" si="14">SUM(K63,K65:K66)*B68</f>
        <v>4730934.8741230359</v>
      </c>
    </row>
    <row r="69" spans="1:11">
      <c r="A69" s="125" t="s">
        <v>269</v>
      </c>
      <c r="B69" s="123">
        <v>0.05</v>
      </c>
      <c r="C69" s="603">
        <f>SUM(C62,C64:C65)*B69</f>
        <v>1599756.2281113751</v>
      </c>
      <c r="D69" s="603">
        <f t="shared" si="7"/>
        <v>413176.14958054014</v>
      </c>
      <c r="E69" s="603">
        <f t="shared" si="8"/>
        <v>510245.05159890821</v>
      </c>
      <c r="F69" s="603">
        <f t="shared" si="9"/>
        <v>643008.20737491967</v>
      </c>
      <c r="G69" s="603">
        <f t="shared" si="10"/>
        <v>855816.28185118409</v>
      </c>
      <c r="H69" s="603">
        <f t="shared" si="11"/>
        <v>1149943.4393101137</v>
      </c>
      <c r="I69" s="603">
        <f t="shared" si="12"/>
        <v>1621483.2325762073</v>
      </c>
      <c r="J69" s="603">
        <f t="shared" si="13"/>
        <v>2009613.1559188459</v>
      </c>
      <c r="K69" s="607">
        <f t="shared" si="14"/>
        <v>2454162.5963062397</v>
      </c>
    </row>
    <row r="70" spans="1:11">
      <c r="A70" s="125" t="s">
        <v>274</v>
      </c>
      <c r="B70" s="123">
        <v>0.16</v>
      </c>
      <c r="C70" s="603">
        <f>C69*B70</f>
        <v>255960.99649782002</v>
      </c>
      <c r="D70" s="603">
        <f t="shared" si="7"/>
        <v>3710711.4627046492</v>
      </c>
      <c r="E70" s="603">
        <f t="shared" si="8"/>
        <v>3780034.732387994</v>
      </c>
      <c r="F70" s="603">
        <f t="shared" si="9"/>
        <v>4227299.6398457699</v>
      </c>
      <c r="G70" s="603">
        <f t="shared" si="10"/>
        <v>4370933.3155444572</v>
      </c>
      <c r="H70" s="603">
        <f t="shared" si="11"/>
        <v>4825081.6314539071</v>
      </c>
      <c r="I70" s="603">
        <f t="shared" si="12"/>
        <v>10397835.2227451</v>
      </c>
      <c r="J70" s="603">
        <f t="shared" si="13"/>
        <v>10716749.72084002</v>
      </c>
      <c r="K70" s="607">
        <f t="shared" si="14"/>
        <v>11084546.968221648</v>
      </c>
    </row>
    <row r="71" spans="1:11" ht="15.75" thickBot="1">
      <c r="A71" s="969"/>
      <c r="B71" s="970"/>
      <c r="C71" s="585"/>
      <c r="D71" s="585"/>
      <c r="E71" s="585"/>
      <c r="F71" s="585"/>
      <c r="G71" s="585"/>
      <c r="H71" s="585"/>
      <c r="I71" s="586"/>
      <c r="J71" s="586"/>
      <c r="K71" s="587"/>
    </row>
    <row r="72" spans="1:11" ht="29.25" customHeight="1" thickBot="1">
      <c r="A72" s="930" t="s">
        <v>452</v>
      </c>
      <c r="B72" s="968"/>
      <c r="C72" s="543">
        <f>SUM(C62,C64:C65,C67:C70)</f>
        <v>40249866.699282192</v>
      </c>
      <c r="D72" s="543">
        <f>SUM(D62,D64:D65,D67:D70)</f>
        <v>54522779.316211</v>
      </c>
      <c r="E72" s="543">
        <f t="shared" ref="E72:K72" si="15">SUM(E62,E64:E65,E67:E70)</f>
        <v>59353112.678642653</v>
      </c>
      <c r="F72" s="543">
        <f t="shared" si="15"/>
        <v>71520741.086253032</v>
      </c>
      <c r="G72" s="543">
        <f t="shared" si="15"/>
        <v>81751998.040712744</v>
      </c>
      <c r="H72" s="543">
        <f t="shared" si="15"/>
        <v>102515247.15445586</v>
      </c>
      <c r="I72" s="543">
        <f t="shared" si="15"/>
        <v>160144305.1242826</v>
      </c>
      <c r="J72" s="543">
        <f t="shared" si="15"/>
        <v>182283721.28974587</v>
      </c>
      <c r="K72" s="608">
        <f t="shared" si="15"/>
        <v>207889128.7350018</v>
      </c>
    </row>
    <row r="75" spans="1:11">
      <c r="C75" s="604"/>
      <c r="D75" s="604"/>
      <c r="E75" s="604"/>
      <c r="F75" s="604"/>
      <c r="G75" s="604"/>
      <c r="H75" s="604"/>
      <c r="I75" s="604"/>
      <c r="J75" s="604"/>
      <c r="K75" s="604"/>
    </row>
  </sheetData>
  <mergeCells count="63">
    <mergeCell ref="A11:B11"/>
    <mergeCell ref="A1:B3"/>
    <mergeCell ref="C1:I2"/>
    <mergeCell ref="J1:K1"/>
    <mergeCell ref="J2:K2"/>
    <mergeCell ref="C3:I3"/>
    <mergeCell ref="J3:K3"/>
    <mergeCell ref="A4:B6"/>
    <mergeCell ref="C4:I6"/>
    <mergeCell ref="A7:B7"/>
    <mergeCell ref="A8:B8"/>
    <mergeCell ref="A10:B10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7:B47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B48"/>
    <mergeCell ref="A49:B49"/>
    <mergeCell ref="A50:B50"/>
    <mergeCell ref="A51:B51"/>
    <mergeCell ref="A52:B52"/>
    <mergeCell ref="A64:B64"/>
    <mergeCell ref="A71:B71"/>
    <mergeCell ref="A72:B72"/>
    <mergeCell ref="A65:B65"/>
    <mergeCell ref="A58:B58"/>
    <mergeCell ref="A59:B59"/>
    <mergeCell ref="A60:B60"/>
    <mergeCell ref="A61:B61"/>
    <mergeCell ref="A62:B62"/>
    <mergeCell ref="A63:B63"/>
  </mergeCells>
  <pageMargins left="0.7" right="0.7" top="0.75" bottom="0.75" header="0.3" footer="0.3"/>
  <pageSetup orientation="portrait" horizontalDpi="4294967292" r:id="rId1"/>
  <ignoredErrors>
    <ignoredError sqref="I62 D67:D6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02-HH-2014</vt:lpstr>
      <vt:lpstr>03-APU-NUEV UNC 2014</vt:lpstr>
      <vt:lpstr>05-ED-2014</vt:lpstr>
      <vt:lpstr>01-UCADE 4 SP</vt:lpstr>
      <vt:lpstr>02-UCADE 5 TW </vt:lpstr>
      <vt:lpstr>03-UCADE 6 SPTW </vt:lpstr>
      <vt:lpstr>04-UCADE 7 TS</vt:lpstr>
      <vt:lpstr>05-UCADE 8 VS)</vt:lpstr>
    </vt:vector>
  </TitlesOfParts>
  <Company>Luffi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esfera ingenieria</dc:creator>
  <cp:lastModifiedBy>FERNANDO</cp:lastModifiedBy>
  <cp:lastPrinted>2014-10-16T00:35:30Z</cp:lastPrinted>
  <dcterms:created xsi:type="dcterms:W3CDTF">2014-10-07T12:42:48Z</dcterms:created>
  <dcterms:modified xsi:type="dcterms:W3CDTF">2014-11-20T14:27:12Z</dcterms:modified>
</cp:coreProperties>
</file>